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概算审查表" sheetId="6" r:id="rId1"/>
    <sheet name="二类费用计算明细表" sheetId="3" state="hidden" r:id="rId2"/>
    <sheet name="造价咨询费" sheetId="5" state="hidden" r:id="rId3"/>
    <sheet name="Sheet2" sheetId="4" state="hidden" r:id="rId4"/>
  </sheets>
  <definedNames>
    <definedName name="_xlnm.Print_Area" localSheetId="1">二类费用计算明细表!$A$1:$G$31</definedName>
    <definedName name="_xlnm.Print_Titles" localSheetId="1">二类费用计算明细表!$1:$3</definedName>
    <definedName name="年份概算4栏">#REF!</definedName>
    <definedName name="_xlnm.Print_Area" localSheetId="0">概算审查表!$A$1:$F$20</definedName>
    <definedName name="_xlnm.Print_Titles" localSheetId="0">概算审查表!$1:$4</definedName>
    <definedName name="_xlnm._FilterDatabase" localSheetId="0" hidden="1">概算审查表!$A$1:$F$6</definedName>
  </definedNames>
  <calcPr calcId="144525" fullPrecision="0"/>
</workbook>
</file>

<file path=xl/sharedStrings.xml><?xml version="1.0" encoding="utf-8"?>
<sst xmlns="http://schemas.openxmlformats.org/spreadsheetml/2006/main" count="602" uniqueCount="345">
  <si>
    <t>附件：</t>
  </si>
  <si>
    <t>珠海经济特区建设展工程项目设计概算核定表</t>
  </si>
  <si>
    <t>单位：万元　</t>
  </si>
  <si>
    <t>序号</t>
  </si>
  <si>
    <t>项目名称</t>
  </si>
  <si>
    <t>申报概算</t>
  </si>
  <si>
    <t>核定概算</t>
  </si>
  <si>
    <t>核定增减额</t>
  </si>
  <si>
    <t>备    注</t>
  </si>
  <si>
    <t>静态总投资</t>
  </si>
  <si>
    <t>一+二+三</t>
  </si>
  <si>
    <t>一</t>
  </si>
  <si>
    <t>建安工程费</t>
  </si>
  <si>
    <t>包括展厅装修、给排水、空调、消防改造，陈列布展、多媒体工程等内容，改造建筑面积1950㎡</t>
  </si>
  <si>
    <t>二</t>
  </si>
  <si>
    <t>工程建设其他费</t>
  </si>
  <si>
    <t>建设单位管理费</t>
  </si>
  <si>
    <t>财建〔2016〕504号</t>
  </si>
  <si>
    <t>建设项目前期工作咨询费</t>
  </si>
  <si>
    <t>参考计价格〔1999〕1283号</t>
  </si>
  <si>
    <t>展陈大纲编制服务费</t>
  </si>
  <si>
    <t>珠审费预〔2026〕49号</t>
  </si>
  <si>
    <t>工程设计费</t>
  </si>
  <si>
    <t>珠审费预〔2026〕44号</t>
  </si>
  <si>
    <t>监理费</t>
  </si>
  <si>
    <t>参考发改价格〔2007〕670号</t>
  </si>
  <si>
    <t>造价咨询费</t>
  </si>
  <si>
    <t>施工图审查费</t>
  </si>
  <si>
    <t>检验监测费</t>
  </si>
  <si>
    <t>取消</t>
  </si>
  <si>
    <t>工程保险费</t>
  </si>
  <si>
    <t>建安工程费×0.3%</t>
  </si>
  <si>
    <t>白蚁防治费</t>
  </si>
  <si>
    <t>建筑面积×3元</t>
  </si>
  <si>
    <t>场地准备及临时设施费</t>
  </si>
  <si>
    <t>消防第三方检测费</t>
  </si>
  <si>
    <t>暂按申报价计列</t>
  </si>
  <si>
    <t>三</t>
  </si>
  <si>
    <t>预备费</t>
  </si>
  <si>
    <t>（一+二）×5%</t>
  </si>
  <si>
    <t>工程建设其他费概算汇总表</t>
  </si>
  <si>
    <t>工程名称：珠海车驾管综合服务中心异地重建项目（一期）</t>
  </si>
  <si>
    <t>费用名称</t>
  </si>
  <si>
    <t>费用组成内容</t>
  </si>
  <si>
    <t>概算金额（万元）</t>
  </si>
  <si>
    <t>计算公式</t>
  </si>
  <si>
    <t>计费依据</t>
  </si>
  <si>
    <t>备注</t>
  </si>
  <si>
    <t>用地报批费用</t>
  </si>
  <si>
    <t>用地规划调整、用地报批、概念性方案编制、占用耕地耕作层再利用方案编制费</t>
  </si>
  <si>
    <t>1.1+1.2+1.3+1.4</t>
  </si>
  <si>
    <t>珠海市政府投资工程建设其他费预算核定表(珠审费预(2022)313号)、珠审费预(2024)94号</t>
  </si>
  <si>
    <t>建安费</t>
  </si>
  <si>
    <t>建设项目用地预审选址意见报告书编制费</t>
  </si>
  <si>
    <t>珠海市政府投资工程建设其他费预算核定表(珠审费预(2022)313号)</t>
  </si>
  <si>
    <t>总投资</t>
  </si>
  <si>
    <t>土地利用规划调整费</t>
  </si>
  <si>
    <t>士规调整、控规调整技术咨询费</t>
  </si>
  <si>
    <t>按合同金额计入</t>
  </si>
  <si>
    <t>占用耕地耕作层剥离再利用方案编制费</t>
  </si>
  <si>
    <t>可研编制费</t>
  </si>
  <si>
    <t>施工准备阶段、施工阶段、竣工结算阶段、工程收尾阶段、保修阶段的质量、安全、造价、进度控制</t>
  </si>
  <si>
    <t>(28+(40068.48-10000)*(75-28)/(50000-
10000))*0.8*1.0*0.8</t>
  </si>
  <si>
    <t>珠审费预(2023)51号，专业调整系数为0.8、复杂调整系数为1.0，费率0.8。</t>
  </si>
  <si>
    <t>环境影响咨询服务费</t>
  </si>
  <si>
    <t>环境影响咨询服务</t>
  </si>
  <si>
    <t>(15+(建安费-20000)*(35-15)/(140000-20000))*0.6*0.8*0.8+4</t>
  </si>
  <si>
    <t>计价格 [2002]125号、发改价格[2011]534号，编制环境影响报告表/书，行业调整系数取0.6、敏感程度调整系数取0.8，费率0.8。考虑检测费4万元。</t>
  </si>
  <si>
    <t>测量测绘费</t>
  </si>
  <si>
    <t>勘测定界费、规划放线定位测量、施工放线放样测量、竣工规划验收测量</t>
  </si>
  <si>
    <t>建安费*0.5%</t>
  </si>
  <si>
    <t>珠测[2010]30号、国测财字[2002]3号 暂按（一）*0.5%计取</t>
  </si>
  <si>
    <t>工程勘察费</t>
  </si>
  <si>
    <t>现场踏勘、勘探、取样及试验等</t>
  </si>
  <si>
    <t>设计费*20%</t>
  </si>
  <si>
    <t>计价格[2002]10号 勘测费：设计费×20%；暂定 以实际勘测工作量结算为准</t>
  </si>
  <si>
    <t>初步设计（含概算编制）、方案设计、设计咨询、施工图设计及施工配合工作</t>
  </si>
  <si>
    <t>（566.8+(建安费-20000)*(1054-566.8)/(40000-20000)）*1*1*1*0.8-16</t>
  </si>
  <si>
    <t>计价格[2002]10号，专业调整系数取1.0、附加调整系数取1.0、复杂程度调整系数1.0、费率0.8</t>
  </si>
  <si>
    <t>施工图技术审查费</t>
  </si>
  <si>
    <t>施工图审查</t>
  </si>
  <si>
    <t>（设计费+勘察费）*6.5%</t>
  </si>
  <si>
    <t>（工程勘察费+工程设计费）*6.5%</t>
  </si>
  <si>
    <t>建设工程监理费</t>
  </si>
  <si>
    <t>（393.4+(建安费-20000)*(708.2-393.4)/(40000-20000)）*0.8</t>
  </si>
  <si>
    <t>按照《建设工程监理与相关服务收费管理规定》（发改价格[2007]670号）所载标准计算，专业调整系数取1.0，工程复杂程度系数取1.0，高程调整系数取1.0，费率0.8</t>
  </si>
  <si>
    <t>工程造价咨询服务费</t>
  </si>
  <si>
    <t>全过程造价控制</t>
  </si>
  <si>
    <t>工程预算编制+结算基本收费+钢筋计预埋件</t>
  </si>
  <si>
    <t>场地准备和临时设施费</t>
  </si>
  <si>
    <t>《珠海市政府投资项目估（概）算工程建设其他费计费指引（试行）》，按建安费*0.5%暂估</t>
  </si>
  <si>
    <t>桩基检测费、防雷检测费、雨污水管道CCTV检测费等各分项检测费</t>
  </si>
  <si>
    <t>建安费*1%</t>
  </si>
  <si>
    <t>根据《广东省建设工程概算编制办法》，《珠海市政府投资项目估（概）算工程建设其他费计费指引（试行）》，相关检验检测费按照工程建安费用1%计算，包含但不限于：材料进场检验费、地基检测、桩基础检测费、起重设备检验费、室内空气检验费、幕墙检验费、钢结构无损探伤检测费、房屋结构可靠性评定及安全鉴定费、防雷设施检测费、节能检测费、土壤氡检测、沉降监测费等</t>
  </si>
  <si>
    <t>建设单位转移的意外风险，含建筑工程一切险、那幢工程一切险、设备及第三者责任险，不包含施工企业的机械设备和人员安全险。</t>
  </si>
  <si>
    <t>建安费*0.3%</t>
  </si>
  <si>
    <t>建标【2011】1号</t>
  </si>
  <si>
    <t>水土保持方案编制费</t>
  </si>
  <si>
    <t>水土保持方案报告编制</t>
  </si>
  <si>
    <t>珠审费预[2024]361号，暂按审批金额计入</t>
  </si>
  <si>
    <t>水土保持补偿费</t>
  </si>
  <si>
    <t>暂估</t>
  </si>
  <si>
    <t>水保监测及验收费用</t>
  </si>
  <si>
    <t>土壤污染状况调查费</t>
  </si>
  <si>
    <t>珠审费预[2024]377号，暂按审批金额计入</t>
  </si>
  <si>
    <t>预防白蚁等昆虫对建筑物的危害，进行白蚁防治服务</t>
  </si>
  <si>
    <t>建筑面积*3元/m2，独栋厂房按10元/m2计算</t>
  </si>
  <si>
    <t>粤价[2002】370号</t>
  </si>
  <si>
    <t>交通影响评价费</t>
  </si>
  <si>
    <t>按合同计入</t>
  </si>
  <si>
    <t>地质灾害评估费</t>
  </si>
  <si>
    <t>社会稳定风险评估费</t>
  </si>
  <si>
    <t>节地评价报告编制费</t>
  </si>
  <si>
    <t>人防易地建设费</t>
  </si>
  <si>
    <t>建筑面积*5%*1600元/m2</t>
  </si>
  <si>
    <t>人防异地建设费收费标准 粤发改价格[2020]435号，1600元/m2计算</t>
  </si>
  <si>
    <t>概念性方案设计费用</t>
  </si>
  <si>
    <t>合计</t>
  </si>
  <si>
    <t>广东省建设工程造价咨询服务收费项目和收费标准表（粤价函〔2011〕742号</t>
  </si>
  <si>
    <t>咨询项目名称</t>
  </si>
  <si>
    <t>服务内容</t>
  </si>
  <si>
    <t>收费基数</t>
  </si>
  <si>
    <t>100万元以下</t>
  </si>
  <si>
    <t>101-500万元</t>
  </si>
  <si>
    <t>501-1000万元</t>
  </si>
  <si>
    <t>1001-5000万元</t>
  </si>
  <si>
    <t>5001万元-1亿元</t>
  </si>
  <si>
    <t>1亿元以上</t>
  </si>
  <si>
    <t>最高限额合计</t>
  </si>
  <si>
    <t>投资估算的编制或审核</t>
  </si>
  <si>
    <t>依据建设项目可行性研究方案或核对项目投资估算出具投资估算报告或审核报告</t>
  </si>
  <si>
    <t>估算价</t>
  </si>
  <si>
    <t>1.3‰</t>
  </si>
  <si>
    <t>1.1‰</t>
  </si>
  <si>
    <t>0.9‰</t>
  </si>
  <si>
    <t>0.7‰</t>
  </si>
  <si>
    <t>0.5‰</t>
  </si>
  <si>
    <t>0.4‰</t>
  </si>
  <si>
    <t>工程概算的编制或审核</t>
  </si>
  <si>
    <t>依据初步设计图纸计算或复合工程量出具工程概算书或审核报告</t>
  </si>
  <si>
    <t>概算价</t>
  </si>
  <si>
    <t>2‰</t>
  </si>
  <si>
    <t>1.8‰</t>
  </si>
  <si>
    <t>1.6‰</t>
  </si>
  <si>
    <t>1.2‰</t>
  </si>
  <si>
    <t>工程预算的编制或审核</t>
  </si>
  <si>
    <t>清单计价法</t>
  </si>
  <si>
    <t>依据施工图编制或审核工程量清单，出具工程量清单书或审核报告</t>
  </si>
  <si>
    <t>预算造价（预算价、招标控制价）</t>
  </si>
  <si>
    <t>3‰</t>
  </si>
  <si>
    <t>2.5‰</t>
  </si>
  <si>
    <t>2.4‰</t>
  </si>
  <si>
    <t>2.2‰</t>
  </si>
  <si>
    <t>差额定率分档累进制计算</t>
  </si>
  <si>
    <t>依据施工图、工程量清单编制或审核工程量清单报价出具工程报价书或审核报告</t>
  </si>
  <si>
    <t>1.4‰</t>
  </si>
  <si>
    <t>0.8‰</t>
  </si>
  <si>
    <t>定额计价法</t>
  </si>
  <si>
    <t>依据施工图编制或审核工程预算，出具工程预算书或审核报告</t>
  </si>
  <si>
    <t>4‰</t>
  </si>
  <si>
    <t>3.5‰</t>
  </si>
  <si>
    <t>1.5‰</t>
  </si>
  <si>
    <t>工程结算的编制</t>
  </si>
  <si>
    <t>依据竣工图等竣工资料编制工程结算出具工程结算书</t>
  </si>
  <si>
    <t>建筑安装工程造价</t>
  </si>
  <si>
    <t>4.5‰</t>
  </si>
  <si>
    <t>3.3‰</t>
  </si>
  <si>
    <t>工程结算审核</t>
  </si>
  <si>
    <t>（1）基本收费</t>
  </si>
  <si>
    <t>依据竣工图、签证资料、工程结算书等审核，出具工程结算审核报告</t>
  </si>
  <si>
    <t>送审结算价</t>
  </si>
  <si>
    <t>2.8‰</t>
  </si>
  <si>
    <t>1‰</t>
  </si>
  <si>
    <t>（2）效益收费</t>
  </si>
  <si>
    <t>|核减额|+|核增额|</t>
  </si>
  <si>
    <t>施工阶段全过程造价控制</t>
  </si>
  <si>
    <t>工程量清单编制开始到工程结算审核的造价咨询服务</t>
  </si>
  <si>
    <t>12‰</t>
  </si>
  <si>
    <t>11‰</t>
  </si>
  <si>
    <t>10‰</t>
  </si>
  <si>
    <t>9‰</t>
  </si>
  <si>
    <t>8‰</t>
  </si>
  <si>
    <t>7‰</t>
  </si>
  <si>
    <t>工程造价纠纷鉴证</t>
  </si>
  <si>
    <t>鉴证标的额</t>
  </si>
  <si>
    <t>6‰</t>
  </si>
  <si>
    <t>5‰</t>
  </si>
  <si>
    <t>钢筋及预埋件计算</t>
  </si>
  <si>
    <t>金额</t>
  </si>
  <si>
    <t>1.0‰</t>
  </si>
  <si>
    <t>工程造价咨询工日收费标准</t>
  </si>
  <si>
    <t>建筑项目总投资</t>
  </si>
  <si>
    <t xml:space="preserve">说明：1.工程结算审查项目的计费方式按（1)+(2)计算，其中效益费用应由受益人支付；                     </t>
  </si>
  <si>
    <t xml:space="preserve">2.凡要求计算钢筋精细计量的，按钢筋重量以14-16元∕吨，另计费用；                        </t>
  </si>
  <si>
    <t xml:space="preserve">3.工程主材无论是否计入工程造价，均应计入取费基数；                                     </t>
  </si>
  <si>
    <t xml:space="preserve">4.工程实施阶段造价控制包括：工程量清单编制开始到工程结算的全部造价咨询服务；           </t>
  </si>
  <si>
    <t xml:space="preserve">5.单独委托的装饰工程、安装工程和技术改造应在上述费用的基础上增加20%；                  </t>
  </si>
  <si>
    <t xml:space="preserve">6.没胆咨询合同按上述费用计算不足3000元时，按3000-3500元计取咨询费用；                  </t>
  </si>
  <si>
    <t xml:space="preserve">7.建设项目前期工作的咨询费用，包括建设项目专题研究、编制和评估项目建议书或者可行性研究 </t>
  </si>
  <si>
    <t>报告，以及其他与建设型目前其工作有关的咨询服务费用参照《关于印发建设项目前期工作咨询收</t>
  </si>
  <si>
    <t>费暂行规定的通知（计价格[1999]1283）》及《关于建设项目前期工作咨询收费的补充通知（京价</t>
  </si>
  <si>
    <t xml:space="preserve">（房）字[1999]第487号）》的相关规定及取费用；                                          </t>
  </si>
  <si>
    <t>8.工程概算、工程量清单、清单预算、定额预算、竣工决算的审核费用，按照本表所对应的咨询项</t>
  </si>
  <si>
    <t xml:space="preserve">目编制费率的90%及取费用；                                                              </t>
  </si>
  <si>
    <t xml:space="preserve">9.此表格费率上下浮动幅度为20%。                                                        </t>
  </si>
  <si>
    <t>珠海车驾管综合服务中心异地重建项目（一期）概算汇总表</t>
  </si>
  <si>
    <t>工程项目/费用名称</t>
  </si>
  <si>
    <t>单位</t>
  </si>
  <si>
    <t>建筑面积</t>
  </si>
  <si>
    <t>金额（元）</t>
  </si>
  <si>
    <t>金额（万元）</t>
  </si>
  <si>
    <r>
      <rPr>
        <b/>
        <sz val="10"/>
        <rFont val="宋体"/>
        <charset val="134"/>
      </rPr>
      <t>经济指标(元/m</t>
    </r>
    <r>
      <rPr>
        <b/>
        <vertAlign val="superscript"/>
        <sz val="10"/>
        <rFont val="宋体"/>
        <charset val="134"/>
      </rPr>
      <t>2</t>
    </r>
    <r>
      <rPr>
        <b/>
        <sz val="10"/>
        <rFont val="宋体"/>
        <charset val="134"/>
      </rPr>
      <t>)</t>
    </r>
  </si>
  <si>
    <t>造价占比（%）</t>
  </si>
  <si>
    <t>估算</t>
  </si>
  <si>
    <t>面积</t>
  </si>
  <si>
    <t>经济指标</t>
  </si>
  <si>
    <t>建安工程费用</t>
  </si>
  <si>
    <r>
      <rPr>
        <b/>
        <sz val="10"/>
        <rFont val="宋体"/>
        <charset val="134"/>
      </rPr>
      <t>m</t>
    </r>
    <r>
      <rPr>
        <b/>
        <sz val="10"/>
        <rFont val="宋体"/>
        <charset val="134"/>
      </rPr>
      <t>2</t>
    </r>
  </si>
  <si>
    <t>按占地面积计算指标（总建筑面积为12046.9m2）</t>
  </si>
  <si>
    <t>（一）</t>
  </si>
  <si>
    <t>地基与基础工程</t>
  </si>
  <si>
    <t>m2</t>
  </si>
  <si>
    <t>含场地内大土方开挖及回填、边坡挡土墙、鱼塘底换填</t>
  </si>
  <si>
    <t>（二）</t>
  </si>
  <si>
    <t>1#业务楼</t>
  </si>
  <si>
    <t>基础工程</t>
  </si>
  <si>
    <t>含土方开挖及回填、预制管桩</t>
  </si>
  <si>
    <t>土建与装修工程</t>
  </si>
  <si>
    <t>包括：主体、砌体、门窗、外墙装饰及铝板、防水、屋面工程、楼梯扶手及护栏</t>
  </si>
  <si>
    <t>机电安装工程</t>
  </si>
  <si>
    <t>强电工程</t>
  </si>
  <si>
    <t>暖通工程</t>
  </si>
  <si>
    <t>消防工程</t>
  </si>
  <si>
    <t>给排水工程</t>
  </si>
  <si>
    <t>（三）</t>
  </si>
  <si>
    <t>2#业务楼</t>
  </si>
  <si>
    <t>（四）</t>
  </si>
  <si>
    <t>3#业务楼</t>
  </si>
  <si>
    <t>含土方开挖及回填</t>
  </si>
  <si>
    <t>含业务楼和所有连廊费用</t>
  </si>
  <si>
    <t>（五）</t>
  </si>
  <si>
    <t>1#业务用房</t>
  </si>
  <si>
    <t>（六）</t>
  </si>
  <si>
    <t>风雨连廊</t>
  </si>
  <si>
    <t>风雨连廊1-基础工程</t>
  </si>
  <si>
    <t>风雨连廊1-土建与装修工程</t>
  </si>
  <si>
    <t>包括：主体、外墙装饰及铝板、防水、屋面工程</t>
  </si>
  <si>
    <t>风雨连廊2-基础工程</t>
  </si>
  <si>
    <t>风雨连廊2-土建与装修工程</t>
  </si>
  <si>
    <t>风雨连廊3-基础工程</t>
  </si>
  <si>
    <t>风雨连廊3-土建与装修工程</t>
  </si>
  <si>
    <t>风雨连廊4-基础工程</t>
  </si>
  <si>
    <t>风雨连廊4-土建与装修工程</t>
  </si>
  <si>
    <t>风雨连廊-电气工程</t>
  </si>
  <si>
    <t>风雨连廊-给排水工程</t>
  </si>
  <si>
    <t>（七）</t>
  </si>
  <si>
    <t>2#业务用房</t>
  </si>
  <si>
    <t>（八）</t>
  </si>
  <si>
    <t>1#门卫室</t>
  </si>
  <si>
    <t>（九）</t>
  </si>
  <si>
    <t>2#门卫室及大门</t>
  </si>
  <si>
    <t>（十）</t>
  </si>
  <si>
    <t>污水处理站</t>
  </si>
  <si>
    <t>污水处理系统设备</t>
  </si>
  <si>
    <t>（十一）</t>
  </si>
  <si>
    <t>10KV开关站</t>
  </si>
  <si>
    <t>（十二）</t>
  </si>
  <si>
    <t>模拟隧道</t>
  </si>
  <si>
    <t>包括：主体、钢结构</t>
  </si>
  <si>
    <t>电气工程</t>
  </si>
  <si>
    <t>（十三）</t>
  </si>
  <si>
    <t>室外配套工程</t>
  </si>
  <si>
    <t>室外园建工程</t>
  </si>
  <si>
    <t>含道路、停车位、围墙、施工围挡、交通工程等</t>
  </si>
  <si>
    <t>含考场、园建、围墙（强夯放在地基中）</t>
  </si>
  <si>
    <t>室外绿化工程</t>
  </si>
  <si>
    <t>含绿化种植及喷灌</t>
  </si>
  <si>
    <t>室外电气工程</t>
  </si>
  <si>
    <t>室外消防工程</t>
  </si>
  <si>
    <t>室外燃气管道工程</t>
  </si>
  <si>
    <t>室外给排水工程</t>
  </si>
  <si>
    <t>室外管网</t>
  </si>
  <si>
    <t>室外智能化工程</t>
  </si>
  <si>
    <t>管线预埋</t>
  </si>
  <si>
    <t>海绵城市工程</t>
  </si>
  <si>
    <t>室外交通设施工程</t>
  </si>
  <si>
    <t>含画线、标牌、考试用杆、标志、龙门架、限位器等</t>
  </si>
  <si>
    <t>苗木迁移</t>
  </si>
  <si>
    <t>项</t>
  </si>
  <si>
    <t>现状房屋拆除</t>
  </si>
  <si>
    <t>（十四）</t>
  </si>
  <si>
    <t>市政道路工程</t>
  </si>
  <si>
    <t>路面工程</t>
  </si>
  <si>
    <t>含道路、回填土、软基、海绵</t>
  </si>
  <si>
    <t>市政管网工程</t>
  </si>
  <si>
    <t>交通工程及沿线设施</t>
  </si>
  <si>
    <t>含电力通讯、交通</t>
  </si>
  <si>
    <t>照明工程</t>
  </si>
  <si>
    <t>信号灯工程</t>
  </si>
  <si>
    <t>绿化工程</t>
  </si>
  <si>
    <t>安监工程</t>
  </si>
  <si>
    <t>（十五）</t>
  </si>
  <si>
    <t>其他专业工程</t>
  </si>
  <si>
    <t>充电桩工程</t>
  </si>
  <si>
    <t>预埋管线</t>
  </si>
  <si>
    <t>光伏发电工程</t>
  </si>
  <si>
    <t>F17金沙甲线10kV铁塔架空线改电缆接入工程</t>
  </si>
  <si>
    <t>变配电工程</t>
  </si>
  <si>
    <t>电梯工程</t>
  </si>
  <si>
    <t>直饮水设备</t>
  </si>
  <si>
    <t>临时配电工程</t>
  </si>
  <si>
    <t>临时用水工程</t>
  </si>
  <si>
    <t>场地清表工程</t>
  </si>
  <si>
    <t>抗震支架</t>
  </si>
  <si>
    <t>（十六）</t>
  </si>
  <si>
    <t>考场专项系统设计工程</t>
  </si>
  <si>
    <t>工程建设其它费用</t>
  </si>
  <si>
    <t>基本预备费
 ([一]+[二])*5%</t>
  </si>
  <si>
    <t>建质[2004]16号及[建质[2003]84号规定，按5%计取</t>
  </si>
  <si>
    <t>四</t>
  </si>
  <si>
    <t>设备购置费</t>
  </si>
  <si>
    <t>考试设备购置费</t>
  </si>
  <si>
    <t>厨房设备</t>
  </si>
  <si>
    <t>分体空调1P</t>
  </si>
  <si>
    <t>分体空调1.5P</t>
  </si>
  <si>
    <t>分体空调2P</t>
  </si>
  <si>
    <t>分体空调3P</t>
  </si>
  <si>
    <t>五</t>
  </si>
  <si>
    <t>土地拆迁及补偿费</t>
  </si>
  <si>
    <t>金湾土地征拆费</t>
  </si>
  <si>
    <t>斗门土地征拆费</t>
  </si>
  <si>
    <t>六</t>
  </si>
  <si>
    <t>土地占用税</t>
  </si>
  <si>
    <t>金湾区耕地占用税</t>
  </si>
  <si>
    <t>斗门区耕地占用税</t>
  </si>
  <si>
    <t>《广东省财政厅、广东省地方税务局、广东省国土资源厅关于核定珠海市耕地占用税适用税额的批复》</t>
  </si>
  <si>
    <t>市耕地有偿调剂使用费</t>
  </si>
  <si>
    <t>《珠海市人民政府关于进一步规范和加强补充耕地指标储备使用管理的通知》</t>
  </si>
  <si>
    <t>七</t>
  </si>
  <si>
    <t>工程静态投资</t>
  </si>
  <si>
    <t>一+二+三+四+五+六（按占地面积计算指标）</t>
  </si>
  <si>
    <t>八</t>
  </si>
  <si>
    <t>其中：不含设备购置费、土地拆迁及补偿费后总投资金额</t>
  </si>
  <si>
    <t>按占地面积计算指标</t>
  </si>
  <si>
    <t>估算总投资</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</si>
</sst>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 numFmtId="178" formatCode="0.00_ "/>
    <numFmt numFmtId="179" formatCode="0.00_);[Red]\(0.00\)"/>
    <numFmt numFmtId="180" formatCode="0.000_ "/>
    <numFmt numFmtId="181" formatCode="0.000000_ "/>
    <numFmt numFmtId="182" formatCode="0.0_ "/>
  </numFmts>
  <fonts count="51">
    <font>
      <sz val="11"/>
      <color theme="1"/>
      <name val="宋体"/>
      <charset val="134"/>
      <scheme val="minor"/>
    </font>
    <font>
      <sz val="12"/>
      <name val="宋体"/>
      <charset val="134"/>
    </font>
    <font>
      <sz val="10"/>
      <name val="宋体"/>
      <charset val="134"/>
    </font>
    <font>
      <b/>
      <sz val="10"/>
      <name val="宋体"/>
      <charset val="134"/>
    </font>
    <font>
      <b/>
      <sz val="12"/>
      <name val="宋体"/>
      <charset val="134"/>
    </font>
    <font>
      <b/>
      <sz val="11"/>
      <name val="宋体"/>
      <charset val="134"/>
    </font>
    <font>
      <b/>
      <sz val="16"/>
      <name val="宋体"/>
      <charset val="134"/>
    </font>
    <font>
      <sz val="10"/>
      <color theme="1"/>
      <name val="宋体"/>
      <charset val="134"/>
    </font>
    <font>
      <sz val="10"/>
      <color theme="1"/>
      <name val="宋体"/>
      <charset val="134"/>
      <scheme val="minor"/>
    </font>
    <font>
      <sz val="10"/>
      <color rgb="FFFF0000"/>
      <name val="宋体"/>
      <charset val="134"/>
    </font>
    <font>
      <b/>
      <sz val="10"/>
      <color theme="1"/>
      <name val="宋体"/>
      <charset val="134"/>
    </font>
    <font>
      <b/>
      <sz val="10"/>
      <color theme="1"/>
      <name val="宋体"/>
      <charset val="134"/>
      <scheme val="minor"/>
    </font>
    <font>
      <sz val="10"/>
      <color rgb="FFFF0000"/>
      <name val="宋体"/>
      <charset val="134"/>
      <scheme val="minor"/>
    </font>
    <font>
      <sz val="10"/>
      <color indexed="8"/>
      <name val="宋体"/>
      <charset val="134"/>
    </font>
    <font>
      <b/>
      <sz val="10"/>
      <color rgb="FFFF0000"/>
      <name val="宋体"/>
      <charset val="134"/>
    </font>
    <font>
      <sz val="18"/>
      <name val="宋体"/>
      <charset val="134"/>
    </font>
    <font>
      <sz val="9"/>
      <name val="宋体"/>
      <charset val="134"/>
    </font>
    <font>
      <b/>
      <sz val="9"/>
      <name val="宋体"/>
      <charset val="134"/>
    </font>
    <font>
      <b/>
      <sz val="11"/>
      <color theme="1"/>
      <name val="宋体"/>
      <charset val="134"/>
      <scheme val="minor"/>
    </font>
    <font>
      <b/>
      <sz val="20"/>
      <color theme="1"/>
      <name val="宋体"/>
      <charset val="134"/>
      <scheme val="minor"/>
    </font>
    <font>
      <b/>
      <sz val="12"/>
      <color theme="1"/>
      <name val="宋体"/>
      <charset val="134"/>
      <scheme val="minor"/>
    </font>
    <font>
      <sz val="10"/>
      <name val="宋体"/>
      <charset val="134"/>
      <scheme val="minor"/>
    </font>
    <font>
      <b/>
      <sz val="10"/>
      <color rgb="FFFF0000"/>
      <name val="宋体"/>
      <charset val="134"/>
      <scheme val="minor"/>
    </font>
    <font>
      <sz val="12"/>
      <color rgb="FF000000"/>
      <name val="宋体"/>
      <charset val="134"/>
    </font>
    <font>
      <b/>
      <sz val="20"/>
      <name val="宋体"/>
      <charset val="134"/>
    </font>
    <font>
      <b/>
      <sz val="20"/>
      <color rgb="FF000000"/>
      <name val="宋体"/>
      <charset val="134"/>
    </font>
    <font>
      <b/>
      <sz val="12"/>
      <name val="宋体"/>
      <charset val="134"/>
      <scheme val="minor"/>
    </font>
    <font>
      <b/>
      <sz val="12"/>
      <color rgb="FF000000"/>
      <name val="宋体"/>
      <charset val="134"/>
      <scheme val="minor"/>
    </font>
    <font>
      <b/>
      <sz val="12"/>
      <name val="SimSun-ExtB"/>
      <charset val="0"/>
    </font>
    <font>
      <sz val="12"/>
      <name val="宋体"/>
      <charset val="134"/>
      <scheme val="minor"/>
    </font>
    <font>
      <sz val="10"/>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vertAlign val="superscript"/>
      <sz val="10"/>
      <name val="宋体"/>
      <charset val="134"/>
    </font>
  </fonts>
  <fills count="37">
    <fill>
      <patternFill patternType="none"/>
    </fill>
    <fill>
      <patternFill patternType="gray125"/>
    </fill>
    <fill>
      <patternFill patternType="solid">
        <fgColor theme="9" tint="0.399884029663991"/>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30" fillId="0" borderId="0"/>
    <xf numFmtId="0" fontId="31" fillId="6" borderId="0" applyNumberFormat="0" applyBorder="0" applyAlignment="0" applyProtection="0">
      <alignment vertical="center"/>
    </xf>
    <xf numFmtId="0" fontId="32" fillId="7"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8" borderId="0" applyNumberFormat="0" applyBorder="0" applyAlignment="0" applyProtection="0">
      <alignment vertical="center"/>
    </xf>
    <xf numFmtId="0" fontId="33" fillId="9" borderId="0" applyNumberFormat="0" applyBorder="0" applyAlignment="0" applyProtection="0">
      <alignment vertical="center"/>
    </xf>
    <xf numFmtId="43" fontId="0" fillId="0" borderId="0" applyFont="0" applyFill="0" applyBorder="0" applyAlignment="0" applyProtection="0">
      <alignment vertical="center"/>
    </xf>
    <xf numFmtId="0" fontId="34" fillId="10"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11" borderId="19" applyNumberFormat="0" applyFont="0" applyAlignment="0" applyProtection="0">
      <alignment vertical="center"/>
    </xf>
    <xf numFmtId="0" fontId="34" fillId="12"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 fillId="0" borderId="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0" applyNumberFormat="0" applyFill="0" applyAlignment="0" applyProtection="0">
      <alignment vertical="center"/>
    </xf>
    <xf numFmtId="0" fontId="42" fillId="0" borderId="20" applyNumberFormat="0" applyFill="0" applyAlignment="0" applyProtection="0">
      <alignment vertical="center"/>
    </xf>
    <xf numFmtId="0" fontId="34" fillId="13" borderId="0" applyNumberFormat="0" applyBorder="0" applyAlignment="0" applyProtection="0">
      <alignment vertical="center"/>
    </xf>
    <xf numFmtId="0" fontId="37" fillId="0" borderId="21" applyNumberFormat="0" applyFill="0" applyAlignment="0" applyProtection="0">
      <alignment vertical="center"/>
    </xf>
    <xf numFmtId="0" fontId="34" fillId="14" borderId="0" applyNumberFormat="0" applyBorder="0" applyAlignment="0" applyProtection="0">
      <alignment vertical="center"/>
    </xf>
    <xf numFmtId="0" fontId="43" fillId="15" borderId="22" applyNumberFormat="0" applyAlignment="0" applyProtection="0">
      <alignment vertical="center"/>
    </xf>
    <xf numFmtId="0" fontId="44" fillId="15" borderId="18" applyNumberFormat="0" applyAlignment="0" applyProtection="0">
      <alignment vertical="center"/>
    </xf>
    <xf numFmtId="0" fontId="45" fillId="16" borderId="23" applyNumberFormat="0" applyAlignment="0" applyProtection="0">
      <alignment vertical="center"/>
    </xf>
    <xf numFmtId="0" fontId="31" fillId="17" borderId="0" applyNumberFormat="0" applyBorder="0" applyAlignment="0" applyProtection="0">
      <alignment vertical="center"/>
    </xf>
    <xf numFmtId="0" fontId="34" fillId="18" borderId="0" applyNumberFormat="0" applyBorder="0" applyAlignment="0" applyProtection="0">
      <alignment vertical="center"/>
    </xf>
    <xf numFmtId="0" fontId="46" fillId="0" borderId="24" applyNumberFormat="0" applyFill="0" applyAlignment="0" applyProtection="0">
      <alignment vertical="center"/>
    </xf>
    <xf numFmtId="0" fontId="47" fillId="0" borderId="25" applyNumberFormat="0" applyFill="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31" fillId="21" borderId="0" applyNumberFormat="0" applyBorder="0" applyAlignment="0" applyProtection="0">
      <alignment vertical="center"/>
    </xf>
    <xf numFmtId="0" fontId="34"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4" fillId="31" borderId="0" applyNumberFormat="0" applyBorder="0" applyAlignment="0" applyProtection="0">
      <alignment vertical="center"/>
    </xf>
    <xf numFmtId="0" fontId="31"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1" fillId="35" borderId="0" applyNumberFormat="0" applyBorder="0" applyAlignment="0" applyProtection="0">
      <alignment vertical="center"/>
    </xf>
    <xf numFmtId="0" fontId="34" fillId="36" borderId="0" applyNumberFormat="0" applyBorder="0" applyAlignment="0" applyProtection="0">
      <alignment vertical="center"/>
    </xf>
    <xf numFmtId="0" fontId="1" fillId="0" borderId="0" applyProtection="0">
      <alignment vertical="center"/>
    </xf>
    <xf numFmtId="0" fontId="1" fillId="0" borderId="0"/>
    <xf numFmtId="0" fontId="1" fillId="0" borderId="0"/>
    <xf numFmtId="0" fontId="1" fillId="0" borderId="0">
      <alignment vertical="center"/>
    </xf>
  </cellStyleXfs>
  <cellXfs count="24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176" fontId="1" fillId="0" borderId="0" xfId="0" applyNumberFormat="1" applyFont="1" applyFill="1" applyBorder="1" applyAlignment="1">
      <alignment vertical="center"/>
    </xf>
    <xf numFmtId="0" fontId="6" fillId="0" borderId="0" xfId="0" applyFont="1" applyFill="1" applyBorder="1" applyAlignment="1">
      <alignment horizontal="center" vertical="center"/>
    </xf>
    <xf numFmtId="176" fontId="6" fillId="0" borderId="0" xfId="0" applyNumberFormat="1" applyFont="1" applyFill="1" applyBorder="1" applyAlignment="1">
      <alignment horizontal="center" vertical="center"/>
    </xf>
    <xf numFmtId="0" fontId="1" fillId="0" borderId="0" xfId="53" applyFont="1" applyFill="1" applyBorder="1" applyAlignment="1">
      <alignment horizontal="center" vertical="center" wrapText="1"/>
    </xf>
    <xf numFmtId="176" fontId="1" fillId="0" borderId="0" xfId="53" applyNumberFormat="1" applyFont="1" applyFill="1" applyBorder="1" applyAlignment="1">
      <alignment horizontal="center" vertical="center" wrapText="1"/>
    </xf>
    <xf numFmtId="0" fontId="3" fillId="0" borderId="1" xfId="53" applyFont="1" applyFill="1" applyBorder="1" applyAlignment="1">
      <alignment horizontal="center" vertical="center"/>
    </xf>
    <xf numFmtId="0" fontId="3" fillId="0" borderId="2" xfId="53" applyFont="1" applyFill="1" applyBorder="1" applyAlignment="1">
      <alignment horizontal="center" vertical="center" wrapText="1"/>
    </xf>
    <xf numFmtId="176" fontId="3" fillId="0" borderId="2" xfId="53" applyNumberFormat="1" applyFont="1" applyFill="1" applyBorder="1" applyAlignment="1">
      <alignment horizontal="center" vertical="center" wrapText="1"/>
    </xf>
    <xf numFmtId="0" fontId="3" fillId="0" borderId="3" xfId="53" applyFont="1" applyFill="1" applyBorder="1" applyAlignment="1">
      <alignment horizontal="center" vertical="center"/>
    </xf>
    <xf numFmtId="0" fontId="3" fillId="0" borderId="4" xfId="53" applyFont="1" applyFill="1" applyBorder="1" applyAlignment="1">
      <alignment horizontal="center" vertical="center" wrapText="1"/>
    </xf>
    <xf numFmtId="0" fontId="3" fillId="0" borderId="4" xfId="53" applyFont="1" applyFill="1" applyBorder="1" applyAlignment="1">
      <alignment horizontal="center" vertical="center"/>
    </xf>
    <xf numFmtId="176" fontId="3" fillId="0" borderId="4" xfId="53" applyNumberFormat="1" applyFont="1" applyFill="1" applyBorder="1" applyAlignment="1">
      <alignment horizontal="center" vertical="center" wrapText="1"/>
    </xf>
    <xf numFmtId="0" fontId="3" fillId="2" borderId="3" xfId="53" applyFont="1" applyFill="1" applyBorder="1" applyAlignment="1">
      <alignment horizontal="center" vertical="center"/>
    </xf>
    <xf numFmtId="0" fontId="3" fillId="2" borderId="4" xfId="53" applyFont="1" applyFill="1" applyBorder="1" applyAlignment="1">
      <alignment horizontal="left" vertical="center" wrapText="1"/>
    </xf>
    <xf numFmtId="0" fontId="3" fillId="2" borderId="4" xfId="53" applyFont="1" applyFill="1" applyBorder="1" applyAlignment="1">
      <alignment horizontal="center" vertical="center"/>
    </xf>
    <xf numFmtId="178" fontId="3" fillId="2" borderId="4" xfId="53" applyNumberFormat="1" applyFont="1" applyFill="1" applyBorder="1" applyAlignment="1">
      <alignment horizontal="center" vertical="center"/>
    </xf>
    <xf numFmtId="43" fontId="3" fillId="2" borderId="4" xfId="53" applyNumberFormat="1" applyFont="1" applyFill="1" applyBorder="1" applyAlignment="1">
      <alignment horizontal="center" vertical="center"/>
    </xf>
    <xf numFmtId="176" fontId="3" fillId="2" borderId="4" xfId="53" applyNumberFormat="1" applyFont="1" applyFill="1" applyBorder="1" applyAlignment="1">
      <alignment horizontal="center" vertical="center" wrapText="1"/>
    </xf>
    <xf numFmtId="0" fontId="7" fillId="0" borderId="3" xfId="53" applyFont="1" applyFill="1" applyBorder="1" applyAlignment="1">
      <alignment horizontal="center" vertical="center"/>
    </xf>
    <xf numFmtId="0" fontId="2" fillId="0" borderId="4" xfId="53" applyFont="1" applyFill="1" applyBorder="1" applyAlignment="1">
      <alignment horizontal="left" vertical="center" wrapText="1"/>
    </xf>
    <xf numFmtId="0" fontId="2" fillId="0" borderId="4" xfId="53" applyFont="1" applyFill="1" applyBorder="1" applyAlignment="1">
      <alignment horizontal="center" vertical="center"/>
    </xf>
    <xf numFmtId="178" fontId="2" fillId="0" borderId="4" xfId="53" applyNumberFormat="1" applyFont="1" applyFill="1" applyBorder="1" applyAlignment="1">
      <alignment horizontal="center" vertical="center"/>
    </xf>
    <xf numFmtId="176" fontId="2" fillId="0" borderId="4" xfId="53" applyNumberFormat="1" applyFont="1" applyFill="1" applyBorder="1" applyAlignment="1">
      <alignment horizontal="center" vertical="center" wrapText="1"/>
    </xf>
    <xf numFmtId="0" fontId="7" fillId="0" borderId="4" xfId="53" applyFont="1" applyFill="1" applyBorder="1" applyAlignment="1">
      <alignment horizontal="left" vertical="center" wrapText="1"/>
    </xf>
    <xf numFmtId="0" fontId="8" fillId="0" borderId="4" xfId="53" applyFont="1" applyFill="1" applyBorder="1" applyAlignment="1">
      <alignment horizontal="center" vertical="center"/>
    </xf>
    <xf numFmtId="178" fontId="7" fillId="0" borderId="4" xfId="53" applyNumberFormat="1" applyFont="1" applyFill="1" applyBorder="1" applyAlignment="1">
      <alignment horizontal="center" vertical="center"/>
    </xf>
    <xf numFmtId="0" fontId="7" fillId="0" borderId="4" xfId="53" applyFont="1" applyFill="1" applyBorder="1" applyAlignment="1">
      <alignment vertical="center" wrapText="1"/>
    </xf>
    <xf numFmtId="178" fontId="2" fillId="0" borderId="4" xfId="53"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xf>
    <xf numFmtId="10" fontId="1" fillId="0" borderId="0" xfId="53" applyNumberFormat="1" applyFont="1" applyFill="1" applyBorder="1" applyAlignment="1">
      <alignment horizontal="center" vertical="center" wrapText="1"/>
    </xf>
    <xf numFmtId="10" fontId="3" fillId="0" borderId="2" xfId="53" applyNumberFormat="1" applyFont="1" applyFill="1" applyBorder="1" applyAlignment="1">
      <alignment horizontal="center" vertical="center" wrapText="1"/>
    </xf>
    <xf numFmtId="0" fontId="3" fillId="0" borderId="5" xfId="53" applyNumberFormat="1"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xf>
    <xf numFmtId="0" fontId="1" fillId="0" borderId="4" xfId="0" applyFont="1" applyFill="1" applyBorder="1" applyAlignment="1">
      <alignment vertical="center"/>
    </xf>
    <xf numFmtId="10" fontId="3" fillId="0" borderId="4" xfId="53" applyNumberFormat="1" applyFont="1" applyFill="1" applyBorder="1" applyAlignment="1">
      <alignment horizontal="center" vertical="center" wrapText="1"/>
    </xf>
    <xf numFmtId="0" fontId="3" fillId="0" borderId="6" xfId="53" applyNumberFormat="1" applyFont="1" applyFill="1" applyBorder="1" applyAlignment="1" applyProtection="1">
      <alignment horizontal="center" vertical="center" wrapText="1"/>
      <protection locked="0"/>
    </xf>
    <xf numFmtId="0" fontId="3" fillId="0" borderId="4" xfId="53" applyNumberFormat="1" applyFont="1" applyFill="1" applyBorder="1" applyAlignment="1" applyProtection="1">
      <alignment horizontal="center" vertical="center" wrapText="1"/>
      <protection locked="0"/>
    </xf>
    <xf numFmtId="176" fontId="2" fillId="0" borderId="4" xfId="0" applyNumberFormat="1" applyFont="1" applyFill="1" applyBorder="1" applyAlignment="1">
      <alignment horizontal="center" vertical="center"/>
    </xf>
    <xf numFmtId="178" fontId="3" fillId="2" borderId="4" xfId="53" applyNumberFormat="1" applyFont="1" applyFill="1" applyBorder="1" applyAlignment="1">
      <alignment horizontal="center" vertical="center" wrapText="1"/>
    </xf>
    <xf numFmtId="10" fontId="3" fillId="2" borderId="6" xfId="53" applyNumberFormat="1" applyFont="1" applyFill="1" applyBorder="1" applyAlignment="1">
      <alignment horizontal="center" vertical="center" wrapText="1"/>
    </xf>
    <xf numFmtId="178" fontId="2" fillId="2" borderId="6" xfId="53" applyNumberFormat="1" applyFont="1" applyFill="1" applyBorder="1" applyAlignment="1">
      <alignment horizontal="left" vertical="center" wrapText="1"/>
    </xf>
    <xf numFmtId="178" fontId="2" fillId="2" borderId="4" xfId="53" applyNumberFormat="1" applyFont="1" applyFill="1" applyBorder="1" applyAlignment="1">
      <alignment horizontal="left" vertical="center" wrapText="1"/>
    </xf>
    <xf numFmtId="176" fontId="2" fillId="0" borderId="4" xfId="0" applyNumberFormat="1" applyFont="1" applyFill="1" applyBorder="1" applyAlignment="1">
      <alignment vertical="center"/>
    </xf>
    <xf numFmtId="0" fontId="2" fillId="0" borderId="4" xfId="0" applyFont="1" applyFill="1" applyBorder="1" applyAlignment="1">
      <alignment vertical="center"/>
    </xf>
    <xf numFmtId="10" fontId="2" fillId="0" borderId="6" xfId="53" applyNumberFormat="1" applyFont="1" applyFill="1" applyBorder="1" applyAlignment="1">
      <alignment horizontal="center" vertical="center" wrapText="1"/>
    </xf>
    <xf numFmtId="178" fontId="9" fillId="0" borderId="6" xfId="53" applyNumberFormat="1" applyFont="1" applyFill="1" applyBorder="1" applyAlignment="1">
      <alignment horizontal="left" vertical="center" wrapText="1"/>
    </xf>
    <xf numFmtId="178" fontId="9" fillId="0" borderId="4" xfId="53" applyNumberFormat="1" applyFont="1" applyFill="1" applyBorder="1" applyAlignment="1">
      <alignment horizontal="left" vertical="center" wrapText="1"/>
    </xf>
    <xf numFmtId="178" fontId="2" fillId="0" borderId="4" xfId="0" applyNumberFormat="1" applyFont="1" applyFill="1" applyBorder="1" applyAlignment="1">
      <alignment horizontal="center" vertical="center" wrapText="1"/>
    </xf>
    <xf numFmtId="178" fontId="9" fillId="0" borderId="4" xfId="53" applyNumberFormat="1" applyFont="1" applyFill="1" applyBorder="1" applyAlignment="1">
      <alignment horizontal="center" vertical="center" wrapText="1"/>
    </xf>
    <xf numFmtId="176" fontId="2" fillId="3" borderId="4" xfId="53" applyNumberFormat="1" applyFont="1" applyFill="1" applyBorder="1" applyAlignment="1">
      <alignment horizontal="center" vertical="center" wrapText="1"/>
    </xf>
    <xf numFmtId="0" fontId="10" fillId="2" borderId="3" xfId="53" applyFont="1" applyFill="1" applyBorder="1" applyAlignment="1">
      <alignment horizontal="center" vertical="center"/>
    </xf>
    <xf numFmtId="0" fontId="10" fillId="2" borderId="4" xfId="53" applyFont="1" applyFill="1" applyBorder="1" applyAlignment="1">
      <alignment vertical="center" wrapText="1"/>
    </xf>
    <xf numFmtId="0" fontId="11" fillId="2" borderId="4" xfId="53" applyFont="1" applyFill="1" applyBorder="1" applyAlignment="1">
      <alignment horizontal="center" vertical="center"/>
    </xf>
    <xf numFmtId="178" fontId="10" fillId="2" borderId="4" xfId="53" applyNumberFormat="1" applyFont="1" applyFill="1" applyBorder="1" applyAlignment="1">
      <alignment horizontal="center" vertical="center"/>
    </xf>
    <xf numFmtId="179" fontId="2" fillId="0" borderId="4" xfId="54" applyNumberFormat="1" applyFont="1" applyFill="1" applyBorder="1" applyAlignment="1">
      <alignment horizontal="left" vertical="center" wrapText="1"/>
    </xf>
    <xf numFmtId="178" fontId="3" fillId="2" borderId="6" xfId="53" applyNumberFormat="1" applyFont="1" applyFill="1" applyBorder="1" applyAlignment="1">
      <alignment horizontal="left" vertical="center" wrapText="1"/>
    </xf>
    <xf numFmtId="178" fontId="3" fillId="2" borderId="4" xfId="53" applyNumberFormat="1"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3" fillId="0" borderId="4" xfId="0" applyFont="1" applyFill="1" applyBorder="1" applyAlignment="1">
      <alignment vertical="center"/>
    </xf>
    <xf numFmtId="176" fontId="3" fillId="0" borderId="4" xfId="0" applyNumberFormat="1" applyFont="1" applyFill="1" applyBorder="1" applyAlignment="1">
      <alignment vertical="center"/>
    </xf>
    <xf numFmtId="0" fontId="13" fillId="0" borderId="4" xfId="53" applyFont="1" applyFill="1" applyBorder="1" applyAlignment="1">
      <alignment vertical="center" wrapText="1"/>
    </xf>
    <xf numFmtId="10" fontId="7" fillId="0" borderId="4" xfId="53" applyNumberFormat="1" applyFont="1" applyFill="1" applyBorder="1" applyAlignment="1">
      <alignment horizontal="center" vertical="center"/>
    </xf>
    <xf numFmtId="0" fontId="10" fillId="2" borderId="7" xfId="53" applyFont="1" applyFill="1" applyBorder="1" applyAlignment="1">
      <alignment horizontal="center" vertical="center"/>
    </xf>
    <xf numFmtId="0" fontId="10" fillId="2" borderId="8" xfId="53" applyFont="1" applyFill="1" applyBorder="1" applyAlignment="1">
      <alignment vertical="center" wrapText="1"/>
    </xf>
    <xf numFmtId="0" fontId="11" fillId="2" borderId="8" xfId="53" applyFont="1" applyFill="1" applyBorder="1" applyAlignment="1">
      <alignment horizontal="center" vertical="center"/>
    </xf>
    <xf numFmtId="178" fontId="10" fillId="2" borderId="8" xfId="53" applyNumberFormat="1" applyFont="1" applyFill="1" applyBorder="1" applyAlignment="1">
      <alignment horizontal="center" vertical="center"/>
    </xf>
    <xf numFmtId="176" fontId="3" fillId="2" borderId="8" xfId="53" applyNumberFormat="1" applyFont="1" applyFill="1" applyBorder="1" applyAlignment="1">
      <alignment horizontal="center" vertical="center" wrapText="1"/>
    </xf>
    <xf numFmtId="0" fontId="7" fillId="0" borderId="9" xfId="53" applyFont="1" applyFill="1" applyBorder="1" applyAlignment="1">
      <alignment horizontal="center"/>
    </xf>
    <xf numFmtId="0" fontId="7" fillId="0" borderId="10" xfId="53" applyFont="1" applyFill="1" applyBorder="1" applyAlignment="1">
      <alignment vertical="center" wrapText="1"/>
    </xf>
    <xf numFmtId="0" fontId="7" fillId="0" borderId="10" xfId="53" applyFont="1" applyFill="1" applyBorder="1" applyAlignment="1">
      <alignment horizontal="center" vertical="center"/>
    </xf>
    <xf numFmtId="178" fontId="7" fillId="0" borderId="10" xfId="53" applyNumberFormat="1" applyFont="1" applyFill="1" applyBorder="1" applyAlignment="1">
      <alignment horizontal="center" vertical="center"/>
    </xf>
    <xf numFmtId="176" fontId="2" fillId="0" borderId="10" xfId="53" applyNumberFormat="1" applyFont="1" applyFill="1" applyBorder="1" applyAlignment="1">
      <alignment horizontal="center" vertical="center" wrapText="1"/>
    </xf>
    <xf numFmtId="178" fontId="3" fillId="2" borderId="4" xfId="0" applyNumberFormat="1" applyFont="1" applyFill="1" applyBorder="1" applyAlignment="1">
      <alignment horizontal="center" vertical="center" wrapText="1"/>
    </xf>
    <xf numFmtId="178" fontId="14" fillId="2" borderId="6" xfId="53" applyNumberFormat="1" applyFont="1" applyFill="1" applyBorder="1" applyAlignment="1">
      <alignment horizontal="left" vertical="center" wrapText="1"/>
    </xf>
    <xf numFmtId="178" fontId="14" fillId="2" borderId="4" xfId="53" applyNumberFormat="1" applyFont="1" applyFill="1" applyBorder="1" applyAlignment="1">
      <alignment horizontal="left" vertical="center" wrapText="1"/>
    </xf>
    <xf numFmtId="178" fontId="2" fillId="3" borderId="4" xfId="53" applyNumberFormat="1" applyFont="1" applyFill="1" applyBorder="1" applyAlignment="1">
      <alignment horizontal="center" vertical="center" wrapText="1"/>
    </xf>
    <xf numFmtId="10" fontId="3" fillId="2" borderId="11" xfId="53" applyNumberFormat="1" applyFont="1" applyFill="1" applyBorder="1" applyAlignment="1">
      <alignment horizontal="center" vertical="center" wrapText="1"/>
    </xf>
    <xf numFmtId="178" fontId="14" fillId="2" borderId="11" xfId="53" applyNumberFormat="1" applyFont="1" applyFill="1" applyBorder="1" applyAlignment="1">
      <alignment horizontal="left" vertical="center" wrapText="1"/>
    </xf>
    <xf numFmtId="178" fontId="2" fillId="0" borderId="10" xfId="0" applyNumberFormat="1" applyFont="1" applyFill="1" applyBorder="1" applyAlignment="1">
      <alignment horizontal="center" vertical="center" wrapText="1"/>
    </xf>
    <xf numFmtId="10" fontId="2" fillId="0" borderId="12" xfId="0" applyNumberFormat="1" applyFont="1" applyFill="1" applyBorder="1" applyAlignment="1">
      <alignment horizontal="center" vertical="center" wrapText="1"/>
    </xf>
    <xf numFmtId="178" fontId="9" fillId="0" borderId="13" xfId="53" applyNumberFormat="1" applyFont="1" applyFill="1" applyBorder="1" applyAlignment="1">
      <alignment horizontal="left" vertical="center" wrapText="1"/>
    </xf>
    <xf numFmtId="178" fontId="9" fillId="0" borderId="0" xfId="53" applyNumberFormat="1" applyFont="1" applyFill="1" applyBorder="1" applyAlignment="1">
      <alignment horizontal="left" vertical="center" wrapText="1"/>
    </xf>
    <xf numFmtId="176" fontId="3" fillId="0" borderId="0" xfId="0" applyNumberFormat="1" applyFont="1" applyFill="1" applyBorder="1" applyAlignment="1">
      <alignment vertical="center"/>
    </xf>
    <xf numFmtId="176" fontId="2" fillId="0" borderId="0" xfId="0" applyNumberFormat="1" applyFont="1" applyFill="1" applyBorder="1" applyAlignment="1">
      <alignment vertical="center"/>
    </xf>
    <xf numFmtId="178" fontId="1" fillId="0" borderId="0" xfId="0" applyNumberFormat="1" applyFont="1" applyFill="1" applyBorder="1" applyAlignment="1">
      <alignment horizontal="left" vertical="center" wrapText="1"/>
    </xf>
    <xf numFmtId="176" fontId="4" fillId="0" borderId="0" xfId="0" applyNumberFormat="1" applyFont="1" applyFill="1" applyBorder="1" applyAlignment="1">
      <alignment vertical="center"/>
    </xf>
    <xf numFmtId="176" fontId="5" fillId="0" borderId="0" xfId="0" applyNumberFormat="1" applyFont="1" applyFill="1" applyBorder="1" applyAlignment="1">
      <alignment vertical="center"/>
    </xf>
    <xf numFmtId="0" fontId="1" fillId="0" borderId="0" xfId="18" applyFill="1" applyBorder="1" applyAlignment="1">
      <alignment vertical="center" wrapText="1"/>
    </xf>
    <xf numFmtId="0" fontId="2" fillId="0" borderId="0" xfId="18" applyFont="1" applyFill="1" applyBorder="1" applyAlignment="1">
      <alignment vertical="center" wrapText="1"/>
    </xf>
    <xf numFmtId="0" fontId="1" fillId="0" borderId="0" xfId="18" applyFill="1" applyBorder="1" applyAlignment="1">
      <alignment horizontal="center" vertical="center" wrapText="1"/>
    </xf>
    <xf numFmtId="0" fontId="1" fillId="0" borderId="0" xfId="18" applyFill="1" applyBorder="1" applyAlignment="1">
      <alignment horizontal="left" vertical="center" wrapText="1"/>
    </xf>
    <xf numFmtId="0" fontId="1" fillId="0" borderId="0" xfId="0" applyFont="1" applyFill="1" applyBorder="1" applyAlignment="1"/>
    <xf numFmtId="0" fontId="15" fillId="0" borderId="0" xfId="18" applyFont="1" applyFill="1" applyBorder="1" applyAlignment="1">
      <alignment horizontal="center" vertical="center" wrapText="1"/>
    </xf>
    <xf numFmtId="0" fontId="16" fillId="0" borderId="4" xfId="18" applyFont="1" applyFill="1" applyBorder="1" applyAlignment="1">
      <alignment vertical="center" wrapText="1"/>
    </xf>
    <xf numFmtId="0" fontId="16" fillId="0" borderId="4" xfId="18" applyFont="1" applyFill="1" applyBorder="1" applyAlignment="1">
      <alignment horizontal="center" vertical="center" wrapText="1"/>
    </xf>
    <xf numFmtId="0" fontId="16" fillId="0" borderId="4" xfId="18" applyFont="1" applyFill="1" applyBorder="1" applyAlignment="1">
      <alignment horizontal="left" vertical="center" wrapText="1"/>
    </xf>
    <xf numFmtId="178" fontId="16" fillId="0" borderId="4" xfId="18" applyNumberFormat="1" applyFont="1" applyFill="1" applyBorder="1" applyAlignment="1">
      <alignment horizontal="center" vertical="center" wrapText="1"/>
    </xf>
    <xf numFmtId="43" fontId="16" fillId="0" borderId="4" xfId="18" applyNumberFormat="1" applyFont="1" applyFill="1" applyBorder="1" applyAlignment="1">
      <alignment horizontal="center" vertical="center" wrapText="1"/>
    </xf>
    <xf numFmtId="0" fontId="16" fillId="0" borderId="4" xfId="18" applyNumberFormat="1" applyFont="1" applyFill="1" applyBorder="1" applyAlignment="1">
      <alignment horizontal="center" vertical="center" wrapText="1"/>
    </xf>
    <xf numFmtId="0" fontId="17" fillId="0" borderId="4" xfId="18" applyFont="1" applyFill="1" applyBorder="1" applyAlignment="1">
      <alignment horizontal="center" vertical="center" wrapText="1"/>
    </xf>
    <xf numFmtId="0" fontId="17" fillId="0" borderId="4" xfId="18" applyFont="1" applyFill="1" applyBorder="1" applyAlignment="1">
      <alignment horizontal="left" vertical="center" wrapText="1"/>
    </xf>
    <xf numFmtId="0" fontId="17" fillId="0" borderId="4" xfId="18" applyNumberFormat="1" applyFont="1" applyFill="1" applyBorder="1" applyAlignment="1">
      <alignment horizontal="center" vertical="center" wrapText="1"/>
    </xf>
    <xf numFmtId="9" fontId="17" fillId="0" borderId="4" xfId="18" applyNumberFormat="1" applyFont="1" applyFill="1" applyBorder="1" applyAlignment="1">
      <alignment horizontal="center" vertical="center" wrapText="1"/>
    </xf>
    <xf numFmtId="0" fontId="17" fillId="0" borderId="8" xfId="18" applyFont="1" applyFill="1" applyBorder="1" applyAlignment="1">
      <alignment horizontal="center" vertical="center" wrapText="1"/>
    </xf>
    <xf numFmtId="0" fontId="17" fillId="0" borderId="8" xfId="18" applyFont="1" applyFill="1" applyBorder="1" applyAlignment="1">
      <alignment horizontal="left" vertical="center" wrapText="1"/>
    </xf>
    <xf numFmtId="178" fontId="17" fillId="0" borderId="8" xfId="18" applyNumberFormat="1" applyFont="1" applyFill="1" applyBorder="1" applyAlignment="1">
      <alignment horizontal="center" vertical="center" wrapText="1"/>
    </xf>
    <xf numFmtId="43" fontId="17" fillId="0" borderId="8" xfId="18" applyNumberFormat="1" applyFont="1" applyFill="1" applyBorder="1" applyAlignment="1">
      <alignment horizontal="center" vertical="center" wrapText="1"/>
    </xf>
    <xf numFmtId="0" fontId="16" fillId="0" borderId="11" xfId="18" applyFont="1" applyFill="1" applyBorder="1" applyAlignment="1">
      <alignment horizontal="center" vertical="center" wrapText="1"/>
    </xf>
    <xf numFmtId="0" fontId="16" fillId="0" borderId="14" xfId="18" applyFont="1" applyFill="1" applyBorder="1" applyAlignment="1">
      <alignment horizontal="center" vertical="center" wrapText="1"/>
    </xf>
    <xf numFmtId="0" fontId="16" fillId="0" borderId="15" xfId="18" applyFont="1" applyFill="1" applyBorder="1" applyAlignment="1">
      <alignment horizontal="center" vertical="center" wrapText="1"/>
    </xf>
    <xf numFmtId="0" fontId="16" fillId="0" borderId="16" xfId="18" applyFont="1" applyFill="1" applyBorder="1" applyAlignment="1">
      <alignment horizontal="center" vertical="center" wrapText="1"/>
    </xf>
    <xf numFmtId="0" fontId="2" fillId="0" borderId="4" xfId="18" applyFont="1" applyFill="1" applyBorder="1" applyAlignment="1">
      <alignment horizontal="center" vertical="center" wrapText="1"/>
    </xf>
    <xf numFmtId="0" fontId="2" fillId="0" borderId="4" xfId="18" applyFont="1" applyFill="1" applyBorder="1" applyAlignment="1">
      <alignment horizontal="left" vertical="center" wrapText="1"/>
    </xf>
    <xf numFmtId="178" fontId="2" fillId="0" borderId="4" xfId="18" applyNumberFormat="1" applyFont="1" applyFill="1" applyBorder="1" applyAlignment="1">
      <alignment horizontal="center" vertical="center" wrapText="1"/>
    </xf>
    <xf numFmtId="43" fontId="2" fillId="0" borderId="4" xfId="18" applyNumberFormat="1" applyFont="1" applyFill="1" applyBorder="1" applyAlignment="1">
      <alignment horizontal="center" vertical="center" wrapText="1"/>
    </xf>
    <xf numFmtId="0" fontId="1" fillId="0" borderId="4" xfId="18" applyFill="1" applyBorder="1" applyAlignment="1">
      <alignment vertical="center" wrapText="1"/>
    </xf>
    <xf numFmtId="0" fontId="1" fillId="0" borderId="4" xfId="18" applyFill="1" applyBorder="1" applyAlignment="1">
      <alignment horizontal="center" vertical="center" wrapText="1"/>
    </xf>
    <xf numFmtId="0" fontId="1" fillId="0" borderId="4" xfId="18" applyFill="1" applyBorder="1" applyAlignment="1">
      <alignment horizontal="left" vertical="center" wrapText="1"/>
    </xf>
    <xf numFmtId="0" fontId="16" fillId="3" borderId="4" xfId="18" applyNumberFormat="1" applyFont="1" applyFill="1" applyBorder="1" applyAlignment="1">
      <alignment horizontal="center" vertical="center" wrapText="1"/>
    </xf>
    <xf numFmtId="180" fontId="2" fillId="0" borderId="0" xfId="18" applyNumberFormat="1" applyFont="1" applyFill="1" applyBorder="1" applyAlignment="1">
      <alignment vertical="center" wrapText="1"/>
    </xf>
    <xf numFmtId="43" fontId="16" fillId="3" borderId="4" xfId="18" applyNumberFormat="1" applyFont="1" applyFill="1" applyBorder="1" applyAlignment="1">
      <alignment horizontal="center" vertical="center" wrapText="1"/>
    </xf>
    <xf numFmtId="178" fontId="17" fillId="0" borderId="4" xfId="18" applyNumberFormat="1" applyFont="1" applyFill="1" applyBorder="1" applyAlignment="1">
      <alignment horizontal="center" vertical="center" wrapText="1"/>
    </xf>
    <xf numFmtId="178" fontId="17" fillId="0" borderId="17" xfId="18" applyNumberFormat="1" applyFont="1" applyFill="1" applyBorder="1" applyAlignment="1">
      <alignment horizontal="center" vertical="center" wrapText="1"/>
    </xf>
    <xf numFmtId="181" fontId="16" fillId="0" borderId="4" xfId="18" applyNumberFormat="1" applyFont="1" applyFill="1" applyBorder="1" applyAlignment="1">
      <alignment horizontal="center" vertical="center" wrapText="1"/>
    </xf>
    <xf numFmtId="176" fontId="16" fillId="0" borderId="4" xfId="18" applyNumberFormat="1" applyFont="1" applyFill="1" applyBorder="1" applyAlignment="1">
      <alignment horizontal="center" vertical="center" wrapText="1"/>
    </xf>
    <xf numFmtId="43" fontId="2" fillId="3" borderId="4" xfId="18" applyNumberFormat="1" applyFont="1" applyFill="1" applyBorder="1" applyAlignment="1">
      <alignment horizontal="center" vertical="center" wrapText="1"/>
    </xf>
    <xf numFmtId="10" fontId="1" fillId="0" borderId="0" xfId="18" applyNumberFormat="1" applyFill="1" applyBorder="1" applyAlignment="1">
      <alignment horizontal="center" vertical="center" wrapText="1"/>
    </xf>
    <xf numFmtId="10" fontId="1" fillId="0" borderId="0" xfId="18" applyNumberFormat="1" applyFont="1" applyFill="1" applyBorder="1" applyAlignment="1">
      <alignment horizontal="center" vertical="center" wrapText="1"/>
    </xf>
    <xf numFmtId="178" fontId="2" fillId="0" borderId="0" xfId="18" applyNumberFormat="1" applyFont="1" applyFill="1" applyBorder="1" applyAlignment="1">
      <alignment vertical="center" wrapText="1"/>
    </xf>
    <xf numFmtId="0" fontId="18" fillId="0" borderId="0" xfId="0" applyFont="1" applyFill="1" applyBorder="1" applyAlignment="1">
      <alignment vertical="center"/>
    </xf>
    <xf numFmtId="0" fontId="18" fillId="0" borderId="0" xfId="0" applyFont="1" applyFill="1" applyBorder="1" applyAlignment="1">
      <alignment horizontal="left" vertical="center"/>
    </xf>
    <xf numFmtId="0" fontId="8" fillId="0" borderId="0" xfId="0" applyFont="1" applyFill="1" applyBorder="1" applyAlignment="1">
      <alignment vertical="center"/>
    </xf>
    <xf numFmtId="0" fontId="12" fillId="0" borderId="0" xfId="0" applyFont="1" applyFill="1" applyBorder="1" applyAlignment="1">
      <alignment vertical="center"/>
    </xf>
    <xf numFmtId="0" fontId="12" fillId="3" borderId="0" xfId="0" applyFont="1" applyFill="1" applyBorder="1" applyAlignment="1">
      <alignment vertical="center"/>
    </xf>
    <xf numFmtId="0" fontId="8" fillId="4" borderId="0" xfId="0" applyFont="1" applyFill="1" applyBorder="1" applyAlignment="1">
      <alignment vertical="center"/>
    </xf>
    <xf numFmtId="0" fontId="8" fillId="0" borderId="0" xfId="0" applyFont="1" applyFill="1" applyAlignment="1">
      <alignment vertical="center"/>
    </xf>
    <xf numFmtId="0" fontId="9" fillId="0" borderId="0" xfId="0" applyFont="1" applyFill="1" applyBorder="1" applyAlignment="1"/>
    <xf numFmtId="0" fontId="9" fillId="3" borderId="0" xfId="0" applyFont="1" applyFill="1" applyBorder="1" applyAlignment="1"/>
    <xf numFmtId="0" fontId="2" fillId="3" borderId="0" xfId="0" applyFont="1" applyFill="1" applyBorder="1" applyAlignment="1"/>
    <xf numFmtId="0" fontId="2" fillId="0" borderId="0" xfId="0" applyFont="1" applyFill="1" applyBorder="1" applyAlignment="1"/>
    <xf numFmtId="0" fontId="11"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178" fontId="0" fillId="0" borderId="0" xfId="0" applyNumberFormat="1" applyFont="1" applyFill="1" applyBorder="1" applyAlignment="1">
      <alignment horizontal="left" vertical="center" wrapText="1"/>
    </xf>
    <xf numFmtId="178" fontId="0" fillId="0" borderId="0" xfId="0" applyNumberFormat="1" applyFont="1" applyFill="1" applyBorder="1" applyAlignment="1">
      <alignment vertical="center"/>
    </xf>
    <xf numFmtId="0" fontId="19" fillId="0" borderId="0" xfId="0" applyFont="1" applyFill="1" applyBorder="1" applyAlignment="1">
      <alignment horizontal="center" vertical="center" wrapText="1"/>
    </xf>
    <xf numFmtId="178" fontId="19" fillId="0" borderId="0" xfId="0" applyNumberFormat="1" applyFont="1" applyFill="1" applyBorder="1" applyAlignment="1">
      <alignment horizontal="center" vertical="center" wrapText="1"/>
    </xf>
    <xf numFmtId="0" fontId="20" fillId="0" borderId="0" xfId="0" applyFont="1" applyFill="1" applyBorder="1" applyAlignment="1">
      <alignment horizontal="left" vertical="center" wrapText="1"/>
    </xf>
    <xf numFmtId="178" fontId="20" fillId="0" borderId="0" xfId="0" applyNumberFormat="1" applyFont="1" applyFill="1" applyBorder="1" applyAlignment="1">
      <alignment horizontal="left" vertical="center" wrapText="1"/>
    </xf>
    <xf numFmtId="0" fontId="18" fillId="0" borderId="4" xfId="0" applyFont="1" applyFill="1" applyBorder="1" applyAlignment="1">
      <alignment horizontal="center" vertical="center" wrapText="1"/>
    </xf>
    <xf numFmtId="178" fontId="1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179" fontId="2" fillId="0" borderId="4" xfId="51" applyNumberFormat="1" applyFont="1" applyFill="1" applyBorder="1" applyAlignment="1">
      <alignment horizontal="center" vertical="center" wrapText="1"/>
    </xf>
    <xf numFmtId="179" fontId="2" fillId="0" borderId="4" xfId="51" applyNumberFormat="1" applyFont="1" applyFill="1" applyBorder="1" applyAlignment="1">
      <alignment horizontal="left" vertical="center" wrapText="1"/>
    </xf>
    <xf numFmtId="179" fontId="2" fillId="5" borderId="4" xfId="51" applyNumberFormat="1" applyFont="1" applyFill="1" applyBorder="1" applyAlignment="1">
      <alignment horizontal="center" vertical="center" wrapText="1"/>
    </xf>
    <xf numFmtId="179" fontId="2" fillId="5" borderId="4" xfId="51" applyNumberFormat="1" applyFont="1" applyFill="1" applyBorder="1" applyAlignment="1">
      <alignment horizontal="left" vertical="center" wrapText="1"/>
    </xf>
    <xf numFmtId="0" fontId="12" fillId="0" borderId="4" xfId="0" applyFont="1" applyFill="1" applyBorder="1" applyAlignment="1">
      <alignment horizontal="center" vertical="center" wrapText="1"/>
    </xf>
    <xf numFmtId="179" fontId="9" fillId="0" borderId="4" xfId="54" applyNumberFormat="1" applyFont="1" applyFill="1" applyBorder="1" applyAlignment="1">
      <alignment horizontal="left" vertical="center" wrapText="1"/>
    </xf>
    <xf numFmtId="179" fontId="9" fillId="0" borderId="4" xfId="51" applyNumberFormat="1" applyFont="1" applyFill="1" applyBorder="1" applyAlignment="1">
      <alignment horizontal="center" vertical="center" wrapText="1"/>
    </xf>
    <xf numFmtId="179" fontId="9" fillId="0" borderId="4" xfId="51" applyNumberFormat="1" applyFont="1" applyFill="1" applyBorder="1" applyAlignment="1">
      <alignment horizontal="left" vertical="center" wrapText="1"/>
    </xf>
    <xf numFmtId="178" fontId="2" fillId="5" borderId="4" xfId="51" applyNumberFormat="1" applyFont="1" applyFill="1" applyBorder="1" applyAlignment="1">
      <alignment horizontal="left" vertical="center" wrapText="1"/>
    </xf>
    <xf numFmtId="0" fontId="21" fillId="0" borderId="4" xfId="0" applyFont="1" applyFill="1" applyBorder="1" applyAlignment="1">
      <alignment horizontal="left" vertical="center" wrapText="1"/>
    </xf>
    <xf numFmtId="0" fontId="2" fillId="0" borderId="4" xfId="54" applyFont="1" applyFill="1" applyBorder="1" applyAlignment="1">
      <alignment horizontal="left" vertical="center" wrapText="1"/>
    </xf>
    <xf numFmtId="178" fontId="2" fillId="0" borderId="4" xfId="51" applyNumberFormat="1" applyFont="1" applyFill="1" applyBorder="1" applyAlignment="1">
      <alignment horizontal="center" vertical="center" wrapText="1"/>
    </xf>
    <xf numFmtId="178" fontId="2" fillId="0" borderId="4" xfId="51" applyNumberFormat="1" applyFont="1" applyFill="1" applyBorder="1" applyAlignment="1">
      <alignment horizontal="left" vertical="center" wrapText="1"/>
    </xf>
    <xf numFmtId="178" fontId="2" fillId="5" borderId="4" xfId="51" applyNumberFormat="1" applyFont="1" applyFill="1" applyBorder="1" applyAlignment="1">
      <alignment horizontal="center" vertical="center" wrapText="1"/>
    </xf>
    <xf numFmtId="0" fontId="9" fillId="3" borderId="4" xfId="54" applyFont="1" applyFill="1" applyBorder="1" applyAlignment="1">
      <alignment horizontal="left" vertical="center" wrapText="1"/>
    </xf>
    <xf numFmtId="0" fontId="12" fillId="3" borderId="4" xfId="0" applyFont="1" applyFill="1" applyBorder="1" applyAlignment="1">
      <alignment horizontal="left" vertical="center" wrapText="1"/>
    </xf>
    <xf numFmtId="178" fontId="9" fillId="3" borderId="4" xfId="51" applyNumberFormat="1" applyFont="1" applyFill="1" applyBorder="1" applyAlignment="1">
      <alignment horizontal="center" vertical="center" wrapText="1"/>
    </xf>
    <xf numFmtId="178" fontId="9" fillId="3" borderId="4" xfId="51" applyNumberFormat="1" applyFont="1" applyFill="1" applyBorder="1" applyAlignment="1">
      <alignment horizontal="left" vertical="center" wrapText="1"/>
    </xf>
    <xf numFmtId="0" fontId="9" fillId="0" borderId="4" xfId="54" applyFont="1" applyFill="1" applyBorder="1" applyAlignment="1">
      <alignment horizontal="left" vertical="center" wrapText="1"/>
    </xf>
    <xf numFmtId="178" fontId="9" fillId="0" borderId="4" xfId="51" applyNumberFormat="1" applyFont="1" applyFill="1" applyBorder="1" applyAlignment="1">
      <alignment horizontal="center" vertical="center" wrapText="1"/>
    </xf>
    <xf numFmtId="178" fontId="9" fillId="0" borderId="4" xfId="51" applyNumberFormat="1" applyFont="1" applyFill="1" applyBorder="1" applyAlignment="1">
      <alignment horizontal="left" vertical="center" wrapText="1"/>
    </xf>
    <xf numFmtId="0" fontId="2" fillId="4" borderId="4" xfId="54" applyFont="1" applyFill="1" applyBorder="1" applyAlignment="1">
      <alignment horizontal="left" vertical="center" wrapText="1"/>
    </xf>
    <xf numFmtId="0" fontId="8" fillId="4" borderId="4" xfId="0" applyFont="1" applyFill="1" applyBorder="1" applyAlignment="1">
      <alignment horizontal="left" vertical="center" wrapText="1"/>
    </xf>
    <xf numFmtId="178" fontId="2" fillId="4" borderId="4" xfId="51" applyNumberFormat="1" applyFont="1" applyFill="1" applyBorder="1" applyAlignment="1">
      <alignment horizontal="center" vertical="center" wrapText="1"/>
    </xf>
    <xf numFmtId="178" fontId="2" fillId="4" borderId="4" xfId="51" applyNumberFormat="1" applyFont="1" applyFill="1" applyBorder="1" applyAlignment="1">
      <alignment horizontal="left" vertical="center" wrapText="1"/>
    </xf>
    <xf numFmtId="179" fontId="9" fillId="3" borderId="4" xfId="54" applyNumberFormat="1" applyFont="1" applyFill="1" applyBorder="1" applyAlignment="1">
      <alignment horizontal="left" vertical="center" wrapText="1"/>
    </xf>
    <xf numFmtId="178" fontId="9" fillId="5" borderId="4" xfId="51" applyNumberFormat="1" applyFont="1" applyFill="1" applyBorder="1" applyAlignment="1">
      <alignment horizontal="center" vertical="center" wrapText="1"/>
    </xf>
    <xf numFmtId="178" fontId="9" fillId="5" borderId="4" xfId="51" applyNumberFormat="1" applyFont="1" applyFill="1" applyBorder="1" applyAlignment="1">
      <alignment horizontal="left" vertical="center" wrapText="1"/>
    </xf>
    <xf numFmtId="179" fontId="2" fillId="3" borderId="4" xfId="54" applyNumberFormat="1" applyFont="1" applyFill="1" applyBorder="1" applyAlignment="1">
      <alignment horizontal="left" vertical="center" wrapText="1"/>
    </xf>
    <xf numFmtId="0" fontId="8" fillId="3" borderId="4" xfId="0" applyFont="1" applyFill="1" applyBorder="1" applyAlignment="1">
      <alignment horizontal="left" vertical="center" wrapText="1"/>
    </xf>
    <xf numFmtId="178" fontId="2" fillId="3" borderId="4" xfId="51" applyNumberFormat="1" applyFont="1" applyFill="1" applyBorder="1" applyAlignment="1">
      <alignment horizontal="center" vertical="center" wrapText="1"/>
    </xf>
    <xf numFmtId="178" fontId="2" fillId="3" borderId="4" xfId="51" applyNumberFormat="1" applyFont="1" applyFill="1" applyBorder="1" applyAlignment="1">
      <alignment horizontal="left" vertical="center" wrapText="1"/>
    </xf>
    <xf numFmtId="0" fontId="8" fillId="3" borderId="0" xfId="0" applyFont="1" applyFill="1" applyBorder="1" applyAlignment="1">
      <alignment vertical="center"/>
    </xf>
    <xf numFmtId="0" fontId="11" fillId="0" borderId="4" xfId="0" applyFont="1" applyFill="1" applyBorder="1" applyAlignment="1">
      <alignment horizontal="left" vertical="center" wrapText="1"/>
    </xf>
    <xf numFmtId="178" fontId="11" fillId="0" borderId="4" xfId="0" applyNumberFormat="1" applyFont="1" applyFill="1" applyBorder="1" applyAlignment="1">
      <alignment horizontal="center" vertical="center" wrapText="1"/>
    </xf>
    <xf numFmtId="178" fontId="18" fillId="0" borderId="0" xfId="0" applyNumberFormat="1" applyFont="1" applyFill="1" applyBorder="1" applyAlignment="1">
      <alignment vertical="center"/>
    </xf>
    <xf numFmtId="178" fontId="18" fillId="0" borderId="0" xfId="0" applyNumberFormat="1" applyFont="1" applyFill="1" applyBorder="1" applyAlignment="1">
      <alignment horizontal="left" vertical="center"/>
    </xf>
    <xf numFmtId="178" fontId="8" fillId="0" borderId="0" xfId="0" applyNumberFormat="1" applyFont="1" applyFill="1" applyBorder="1" applyAlignment="1">
      <alignment horizontal="left" vertical="center"/>
    </xf>
    <xf numFmtId="178" fontId="8" fillId="0" borderId="0" xfId="0" applyNumberFormat="1" applyFont="1" applyFill="1" applyBorder="1" applyAlignment="1">
      <alignment vertical="center"/>
    </xf>
    <xf numFmtId="178" fontId="12" fillId="0" borderId="0" xfId="0" applyNumberFormat="1" applyFont="1" applyFill="1" applyBorder="1" applyAlignment="1">
      <alignment horizontal="left" vertical="center"/>
    </xf>
    <xf numFmtId="0" fontId="22" fillId="0" borderId="0" xfId="0" applyFont="1" applyFill="1" applyBorder="1" applyAlignment="1">
      <alignment vertical="center" wrapText="1"/>
    </xf>
    <xf numFmtId="178" fontId="12" fillId="3" borderId="0" xfId="0" applyNumberFormat="1" applyFont="1" applyFill="1" applyBorder="1" applyAlignment="1">
      <alignment vertical="center"/>
    </xf>
    <xf numFmtId="178" fontId="12" fillId="0" borderId="0" xfId="0" applyNumberFormat="1" applyFont="1" applyFill="1" applyBorder="1" applyAlignment="1">
      <alignment vertical="center"/>
    </xf>
    <xf numFmtId="178" fontId="22" fillId="0" borderId="0" xfId="0" applyNumberFormat="1" applyFont="1" applyFill="1" applyBorder="1" applyAlignment="1">
      <alignment vertical="center" wrapText="1"/>
    </xf>
    <xf numFmtId="178" fontId="8" fillId="4" borderId="0" xfId="0" applyNumberFormat="1" applyFont="1" applyFill="1" applyBorder="1" applyAlignment="1">
      <alignment vertical="center"/>
    </xf>
    <xf numFmtId="178" fontId="8" fillId="0" borderId="0" xfId="0" applyNumberFormat="1" applyFont="1" applyFill="1" applyAlignment="1">
      <alignment vertical="center"/>
    </xf>
    <xf numFmtId="178" fontId="9" fillId="0" borderId="0" xfId="0" applyNumberFormat="1" applyFont="1" applyFill="1" applyBorder="1" applyAlignment="1"/>
    <xf numFmtId="178" fontId="9" fillId="3" borderId="0" xfId="0" applyNumberFormat="1" applyFont="1" applyFill="1" applyBorder="1" applyAlignment="1"/>
    <xf numFmtId="178" fontId="2" fillId="3" borderId="0" xfId="0" applyNumberFormat="1" applyFont="1" applyFill="1" applyBorder="1" applyAlignment="1"/>
    <xf numFmtId="178" fontId="2" fillId="0" borderId="0" xfId="0" applyNumberFormat="1" applyFont="1" applyFill="1" applyBorder="1" applyAlignment="1"/>
    <xf numFmtId="178" fontId="11" fillId="0" borderId="0" xfId="0" applyNumberFormat="1" applyFont="1" applyFill="1" applyBorder="1" applyAlignment="1">
      <alignment vertical="center"/>
    </xf>
    <xf numFmtId="178" fontId="1" fillId="0" borderId="0" xfId="0" applyNumberFormat="1" applyFont="1" applyFill="1" applyBorder="1" applyAlignment="1">
      <alignment horizontal="center" vertical="center" wrapText="1"/>
    </xf>
    <xf numFmtId="182"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vertical="center" wrapText="1"/>
    </xf>
    <xf numFmtId="0" fontId="23" fillId="0" borderId="0" xfId="0" applyFont="1" applyFill="1" applyBorder="1" applyAlignment="1">
      <alignment vertical="center" wrapText="1"/>
    </xf>
    <xf numFmtId="49" fontId="1" fillId="0" borderId="0" xfId="0" applyNumberFormat="1" applyFont="1" applyFill="1" applyBorder="1" applyAlignment="1">
      <alignment horizontal="left" wrapText="1"/>
    </xf>
    <xf numFmtId="182" fontId="1" fillId="0" borderId="0" xfId="0" applyNumberFormat="1" applyFont="1" applyFill="1" applyBorder="1" applyAlignment="1">
      <alignment horizontal="left" wrapText="1"/>
    </xf>
    <xf numFmtId="49" fontId="23" fillId="0" borderId="0" xfId="0" applyNumberFormat="1" applyFont="1" applyFill="1" applyBorder="1" applyAlignment="1">
      <alignment horizontal="left" wrapText="1"/>
    </xf>
    <xf numFmtId="0" fontId="24" fillId="0" borderId="0" xfId="0" applyNumberFormat="1" applyFont="1" applyFill="1" applyBorder="1" applyAlignment="1">
      <alignment horizontal="center" vertical="center" wrapText="1"/>
    </xf>
    <xf numFmtId="182" fontId="24" fillId="0" borderId="0" xfId="0" applyNumberFormat="1" applyFont="1" applyFill="1" applyBorder="1" applyAlignment="1">
      <alignment horizontal="center" vertical="center" wrapText="1"/>
    </xf>
    <xf numFmtId="0" fontId="25"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right" vertical="center" wrapText="1"/>
    </xf>
    <xf numFmtId="182" fontId="1" fillId="0" borderId="0" xfId="0" applyNumberFormat="1" applyFont="1" applyFill="1" applyBorder="1" applyAlignment="1">
      <alignment horizontal="right" vertical="center" wrapText="1"/>
    </xf>
    <xf numFmtId="0" fontId="23" fillId="0" borderId="0" xfId="0" applyNumberFormat="1" applyFont="1" applyFill="1" applyBorder="1" applyAlignment="1">
      <alignment horizontal="right" vertical="center" wrapText="1"/>
    </xf>
    <xf numFmtId="0" fontId="26" fillId="0" borderId="4" xfId="0" applyNumberFormat="1" applyFont="1" applyFill="1" applyBorder="1" applyAlignment="1">
      <alignment horizontal="center" vertical="center" wrapText="1"/>
    </xf>
    <xf numFmtId="178" fontId="26" fillId="0" borderId="4" xfId="0" applyNumberFormat="1" applyFont="1" applyFill="1" applyBorder="1" applyAlignment="1">
      <alignment horizontal="center" vertical="center" wrapText="1"/>
    </xf>
    <xf numFmtId="182" fontId="26" fillId="0" borderId="4" xfId="0" applyNumberFormat="1" applyFont="1" applyFill="1" applyBorder="1" applyAlignment="1">
      <alignment horizontal="center" vertical="center" wrapText="1"/>
    </xf>
    <xf numFmtId="0" fontId="27" fillId="0" borderId="4" xfId="0" applyNumberFormat="1" applyFont="1" applyFill="1" applyBorder="1" applyAlignment="1">
      <alignment horizontal="center" vertical="center" wrapText="1"/>
    </xf>
    <xf numFmtId="49" fontId="26" fillId="0" borderId="4" xfId="0" applyNumberFormat="1" applyFont="1" applyFill="1" applyBorder="1" applyAlignment="1">
      <alignment horizontal="center" vertical="center" wrapText="1"/>
    </xf>
    <xf numFmtId="182" fontId="28" fillId="0" borderId="4" xfId="0" applyNumberFormat="1" applyFont="1" applyFill="1" applyBorder="1" applyAlignment="1">
      <alignment horizontal="center" vertical="center" wrapText="1"/>
    </xf>
    <xf numFmtId="0" fontId="29" fillId="0" borderId="4" xfId="0" applyNumberFormat="1" applyFont="1" applyFill="1" applyBorder="1" applyAlignment="1">
      <alignment horizontal="left" vertical="center" wrapText="1"/>
    </xf>
    <xf numFmtId="0" fontId="1" fillId="0" borderId="0" xfId="12" applyNumberFormat="1" applyFont="1" applyFill="1" applyBorder="1" applyAlignment="1" applyProtection="1">
      <alignment horizontal="center" vertical="center" wrapText="1"/>
    </xf>
    <xf numFmtId="178" fontId="2" fillId="0" borderId="0" xfId="53" applyNumberFormat="1" applyFont="1" applyFill="1" applyBorder="1" applyAlignment="1">
      <alignment horizontal="center" vertical="center"/>
    </xf>
    <xf numFmtId="177" fontId="2" fillId="0" borderId="0" xfId="53" applyNumberFormat="1" applyFont="1" applyFill="1" applyBorder="1" applyAlignment="1">
      <alignment horizontal="center" vertical="center"/>
    </xf>
    <xf numFmtId="179" fontId="1" fillId="0" borderId="0" xfId="12" applyNumberFormat="1" applyFont="1" applyFill="1" applyBorder="1" applyAlignment="1" applyProtection="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vertical="center" wrapText="1"/>
    </xf>
    <xf numFmtId="182" fontId="1" fillId="0" borderId="4" xfId="0" applyNumberFormat="1" applyFont="1" applyFill="1" applyBorder="1" applyAlignment="1">
      <alignment horizontal="center" vertical="center" wrapText="1"/>
    </xf>
    <xf numFmtId="0" fontId="23" fillId="0" borderId="4" xfId="0" applyFont="1" applyFill="1" applyBorder="1" applyAlignment="1">
      <alignment vertical="center" wrapText="1"/>
    </xf>
    <xf numFmtId="178" fontId="28" fillId="0" borderId="0" xfId="0" applyNumberFormat="1" applyFont="1" applyFill="1" applyBorder="1" applyAlignment="1">
      <alignment horizontal="center" vertical="center" wrapText="1"/>
    </xf>
  </cellXfs>
  <cellStyles count="55">
    <cellStyle name="常规" xfId="0" builtinId="0"/>
    <cellStyle name="货币[0]" xfId="1" builtinId="7"/>
    <cellStyle name="普通_常规法"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_收费标准计算公式-代理、咨询、监理、设计"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4 2" xfId="51"/>
    <cellStyle name="常规 2" xfId="52"/>
    <cellStyle name="Jun" xfId="53"/>
    <cellStyle name="常规 4" xfId="54"/>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673100</xdr:colOff>
      <xdr:row>53</xdr:row>
      <xdr:rowOff>149225</xdr:rowOff>
    </xdr:from>
    <xdr:to>
      <xdr:col>10</xdr:col>
      <xdr:colOff>291465</xdr:colOff>
      <xdr:row>67</xdr:row>
      <xdr:rowOff>155575</xdr:rowOff>
    </xdr:to>
    <xdr:pic>
      <xdr:nvPicPr>
        <xdr:cNvPr id="2" name="图片 1"/>
        <xdr:cNvPicPr>
          <a:picLocks noChangeAspect="1"/>
        </xdr:cNvPicPr>
      </xdr:nvPicPr>
      <xdr:blipFill>
        <a:blip r:embed="rId1"/>
        <a:stretch>
          <a:fillRect/>
        </a:stretch>
      </xdr:blipFill>
      <xdr:spPr>
        <a:xfrm>
          <a:off x="1445260" y="14258290"/>
          <a:ext cx="5207000" cy="25400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0"/>
  <sheetViews>
    <sheetView tabSelected="1" view="pageBreakPreview" zoomScale="85" zoomScaleNormal="100" workbookViewId="0">
      <pane xSplit="1" ySplit="4" topLeftCell="B5" activePane="bottomRight" state="frozen"/>
      <selection/>
      <selection pane="topRight"/>
      <selection pane="bottomLeft"/>
      <selection pane="bottomRight" activeCell="K14" sqref="K14"/>
    </sheetView>
  </sheetViews>
  <sheetFormatPr defaultColWidth="9" defaultRowHeight="14.25"/>
  <cols>
    <col min="1" max="1" width="9.5" style="7" customWidth="1"/>
    <col min="2" max="2" width="22.8833333333333" style="7" customWidth="1"/>
    <col min="3" max="3" width="16.5" style="219" customWidth="1"/>
    <col min="4" max="4" width="16.25" style="220" customWidth="1"/>
    <col min="5" max="5" width="13.8083333333333" style="221" customWidth="1"/>
    <col min="6" max="6" width="47.7083333333333" style="222" customWidth="1"/>
    <col min="7" max="7" width="14.4083333333333" style="7" customWidth="1"/>
    <col min="8" max="8" width="18.25" style="7" customWidth="1"/>
    <col min="9" max="9" width="14.6333333333333" style="7" customWidth="1"/>
    <col min="10" max="10" width="10.3833333333333" style="7"/>
    <col min="11" max="11" width="21.8833333333333" style="7" customWidth="1"/>
    <col min="12" max="12" width="24.525" style="7" customWidth="1"/>
    <col min="13" max="16384" width="9" style="7"/>
  </cols>
  <sheetData>
    <row r="1" ht="15" customHeight="1" spans="1:6">
      <c r="A1" s="223" t="s">
        <v>0</v>
      </c>
      <c r="B1" s="223"/>
      <c r="C1" s="223"/>
      <c r="D1" s="224"/>
      <c r="E1" s="223"/>
      <c r="F1" s="225"/>
    </row>
    <row r="2" ht="51.95" customHeight="1" spans="1:6">
      <c r="A2" s="226" t="s">
        <v>1</v>
      </c>
      <c r="B2" s="226"/>
      <c r="C2" s="226"/>
      <c r="D2" s="227"/>
      <c r="E2" s="226"/>
      <c r="F2" s="228"/>
    </row>
    <row r="3" ht="21.95" customHeight="1" spans="1:6">
      <c r="A3" s="229" t="s">
        <v>2</v>
      </c>
      <c r="B3" s="229"/>
      <c r="C3" s="229"/>
      <c r="D3" s="230"/>
      <c r="E3" s="229"/>
      <c r="F3" s="231"/>
    </row>
    <row r="4" ht="32.25" customHeight="1" spans="1:6">
      <c r="A4" s="232" t="s">
        <v>3</v>
      </c>
      <c r="B4" s="232" t="s">
        <v>4</v>
      </c>
      <c r="C4" s="233" t="s">
        <v>5</v>
      </c>
      <c r="D4" s="234" t="s">
        <v>6</v>
      </c>
      <c r="E4" s="233" t="s">
        <v>7</v>
      </c>
      <c r="F4" s="235" t="s">
        <v>8</v>
      </c>
    </row>
    <row r="5" ht="32.25" customHeight="1" spans="1:12">
      <c r="A5" s="236"/>
      <c r="B5" s="232" t="s">
        <v>9</v>
      </c>
      <c r="C5" s="237">
        <f>C6+C7+C20</f>
        <v>2636.7</v>
      </c>
      <c r="D5" s="237">
        <f ca="1">D6+D7+D20</f>
        <v>2096.7</v>
      </c>
      <c r="E5" s="237">
        <f ca="1">D5-C5</f>
        <v>-540</v>
      </c>
      <c r="F5" s="238" t="s">
        <v>10</v>
      </c>
      <c r="G5" s="239"/>
      <c r="H5" s="240"/>
      <c r="I5" s="240"/>
      <c r="K5" s="247"/>
      <c r="L5" s="247"/>
    </row>
    <row r="6" ht="37" customHeight="1" spans="1:12">
      <c r="A6" s="236" t="s">
        <v>11</v>
      </c>
      <c r="B6" s="232" t="s">
        <v>12</v>
      </c>
      <c r="C6" s="237">
        <v>2207.8</v>
      </c>
      <c r="D6" s="237">
        <v>1763</v>
      </c>
      <c r="E6" s="237">
        <f>D6-C6</f>
        <v>-444.8</v>
      </c>
      <c r="F6" s="238" t="s">
        <v>13</v>
      </c>
      <c r="G6" s="239"/>
      <c r="H6" s="241"/>
      <c r="I6" s="240"/>
      <c r="K6" s="247"/>
      <c r="L6" s="247"/>
    </row>
    <row r="7" ht="34" customHeight="1" spans="1:12">
      <c r="A7" s="236" t="s">
        <v>14</v>
      </c>
      <c r="B7" s="232" t="s">
        <v>15</v>
      </c>
      <c r="C7" s="237">
        <f>SUM(C8:C19)</f>
        <v>303.3</v>
      </c>
      <c r="D7" s="237">
        <f ca="1">SUM(D8:D19)</f>
        <v>233.9</v>
      </c>
      <c r="E7" s="237">
        <f ca="1">D7-C7</f>
        <v>-69.4</v>
      </c>
      <c r="F7" s="238"/>
      <c r="G7" s="242"/>
      <c r="H7" s="241"/>
      <c r="I7" s="240"/>
      <c r="K7" s="247"/>
      <c r="L7" s="247"/>
    </row>
    <row r="8" ht="34" customHeight="1" spans="1:12">
      <c r="A8" s="243">
        <v>1</v>
      </c>
      <c r="B8" s="244" t="s">
        <v>16</v>
      </c>
      <c r="C8" s="245">
        <v>43.9</v>
      </c>
      <c r="D8" s="245">
        <f ca="1">1000*0.02+(D5-1000-37)*0.015</f>
        <v>35.9</v>
      </c>
      <c r="E8" s="245">
        <f ca="1">D8-C8</f>
        <v>-8</v>
      </c>
      <c r="F8" s="246" t="s">
        <v>17</v>
      </c>
      <c r="G8" s="242"/>
      <c r="H8" s="241"/>
      <c r="I8" s="240"/>
      <c r="K8" s="247"/>
      <c r="L8" s="247"/>
    </row>
    <row r="9" ht="33" customHeight="1" spans="1:6">
      <c r="A9" s="243">
        <v>2</v>
      </c>
      <c r="B9" s="244" t="s">
        <v>18</v>
      </c>
      <c r="C9" s="245">
        <v>10.5</v>
      </c>
      <c r="D9" s="245">
        <f>3+(12-3)/3000*D6</f>
        <v>8.3</v>
      </c>
      <c r="E9" s="245">
        <f>D9-C9</f>
        <v>-2.2</v>
      </c>
      <c r="F9" s="246" t="s">
        <v>19</v>
      </c>
    </row>
    <row r="10" ht="26" customHeight="1" spans="1:6">
      <c r="A10" s="243">
        <v>3</v>
      </c>
      <c r="B10" s="244" t="s">
        <v>20</v>
      </c>
      <c r="C10" s="245">
        <v>60</v>
      </c>
      <c r="D10" s="245">
        <v>60</v>
      </c>
      <c r="E10" s="245">
        <f t="shared" ref="E10:E20" si="0">D10-C10</f>
        <v>0</v>
      </c>
      <c r="F10" s="246" t="s">
        <v>21</v>
      </c>
    </row>
    <row r="11" ht="26" customHeight="1" spans="1:6">
      <c r="A11" s="243">
        <v>4</v>
      </c>
      <c r="B11" s="244" t="s">
        <v>22</v>
      </c>
      <c r="C11" s="245">
        <v>82.9</v>
      </c>
      <c r="D11" s="245">
        <f>87.427/C6*D6</f>
        <v>69.8</v>
      </c>
      <c r="E11" s="245">
        <f t="shared" si="0"/>
        <v>-13.1</v>
      </c>
      <c r="F11" s="246" t="s">
        <v>23</v>
      </c>
    </row>
    <row r="12" ht="28" customHeight="1" spans="1:6">
      <c r="A12" s="243">
        <v>5</v>
      </c>
      <c r="B12" s="244" t="s">
        <v>24</v>
      </c>
      <c r="C12" s="245">
        <v>47.3</v>
      </c>
      <c r="D12" s="245">
        <f>(30.1+(78.1-30.1)/2000*(D6-1000))*0.8</f>
        <v>38.7</v>
      </c>
      <c r="E12" s="245">
        <f t="shared" si="0"/>
        <v>-8.6</v>
      </c>
      <c r="F12" s="246" t="s">
        <v>25</v>
      </c>
    </row>
    <row r="13" ht="28" customHeight="1" spans="1:6">
      <c r="A13" s="243">
        <v>6</v>
      </c>
      <c r="B13" s="244" t="s">
        <v>26</v>
      </c>
      <c r="C13" s="245">
        <v>12.4</v>
      </c>
      <c r="D13" s="245">
        <f>0.76+400*0.0066+500*0.006+(D6-1000)*0.005</f>
        <v>10.2</v>
      </c>
      <c r="E13" s="245">
        <f t="shared" si="0"/>
        <v>-2.2</v>
      </c>
      <c r="F13" s="246" t="s">
        <v>23</v>
      </c>
    </row>
    <row r="14" ht="28" customHeight="1" spans="1:6">
      <c r="A14" s="243">
        <v>7</v>
      </c>
      <c r="B14" s="244" t="s">
        <v>27</v>
      </c>
      <c r="C14" s="245">
        <v>5.4</v>
      </c>
      <c r="D14" s="245">
        <f>D11*0.065</f>
        <v>4.5</v>
      </c>
      <c r="E14" s="245">
        <f t="shared" si="0"/>
        <v>-0.9</v>
      </c>
      <c r="F14" s="246" t="s">
        <v>23</v>
      </c>
    </row>
    <row r="15" ht="27" customHeight="1" spans="1:6">
      <c r="A15" s="243">
        <v>8</v>
      </c>
      <c r="B15" s="244" t="s">
        <v>28</v>
      </c>
      <c r="C15" s="245">
        <v>22.1</v>
      </c>
      <c r="D15" s="245">
        <v>0</v>
      </c>
      <c r="E15" s="245">
        <f t="shared" si="0"/>
        <v>-22.1</v>
      </c>
      <c r="F15" s="246" t="s">
        <v>29</v>
      </c>
    </row>
    <row r="16" ht="24" customHeight="1" spans="1:6">
      <c r="A16" s="243">
        <v>9</v>
      </c>
      <c r="B16" s="244" t="s">
        <v>30</v>
      </c>
      <c r="C16" s="245">
        <v>6.6</v>
      </c>
      <c r="D16" s="245">
        <f>D6*0.003</f>
        <v>5.3</v>
      </c>
      <c r="E16" s="245">
        <f t="shared" si="0"/>
        <v>-1.3</v>
      </c>
      <c r="F16" s="246" t="s">
        <v>31</v>
      </c>
    </row>
    <row r="17" ht="25" customHeight="1" spans="1:6">
      <c r="A17" s="243">
        <v>10</v>
      </c>
      <c r="B17" s="244" t="s">
        <v>32</v>
      </c>
      <c r="C17" s="245">
        <v>0.6</v>
      </c>
      <c r="D17" s="245">
        <f>1950*3/10000</f>
        <v>0.6</v>
      </c>
      <c r="E17" s="245">
        <f t="shared" si="0"/>
        <v>0</v>
      </c>
      <c r="F17" s="246" t="s">
        <v>33</v>
      </c>
    </row>
    <row r="18" ht="28" customHeight="1" spans="1:6">
      <c r="A18" s="243">
        <v>11</v>
      </c>
      <c r="B18" s="244" t="s">
        <v>34</v>
      </c>
      <c r="C18" s="245">
        <v>11</v>
      </c>
      <c r="D18" s="245">
        <v>0</v>
      </c>
      <c r="E18" s="245">
        <f t="shared" si="0"/>
        <v>-11</v>
      </c>
      <c r="F18" s="246" t="s">
        <v>29</v>
      </c>
    </row>
    <row r="19" ht="26" customHeight="1" spans="1:6">
      <c r="A19" s="243">
        <v>12</v>
      </c>
      <c r="B19" s="244" t="s">
        <v>35</v>
      </c>
      <c r="C19" s="245">
        <v>0.6</v>
      </c>
      <c r="D19" s="245">
        <v>0.6</v>
      </c>
      <c r="E19" s="245">
        <f t="shared" si="0"/>
        <v>0</v>
      </c>
      <c r="F19" s="246" t="s">
        <v>36</v>
      </c>
    </row>
    <row r="20" ht="33" customHeight="1" spans="1:6">
      <c r="A20" s="236" t="s">
        <v>37</v>
      </c>
      <c r="B20" s="232" t="s">
        <v>38</v>
      </c>
      <c r="C20" s="237">
        <v>125.6</v>
      </c>
      <c r="D20" s="237">
        <f ca="1">(D6+D7)*0.05</f>
        <v>99.8</v>
      </c>
      <c r="E20" s="237">
        <f ca="1" t="shared" si="0"/>
        <v>-25.8</v>
      </c>
      <c r="F20" s="246" t="s">
        <v>39</v>
      </c>
    </row>
  </sheetData>
  <mergeCells count="3">
    <mergeCell ref="A1:F1"/>
    <mergeCell ref="A2:F2"/>
    <mergeCell ref="A3:F3"/>
  </mergeCells>
  <pageMargins left="0.551181102362205" right="0.15748031496063" top="0.78740157480315" bottom="0.78740157480315" header="0.511811023622047" footer="0.511811023622047"/>
  <pageSetup paperSize="9" fitToHeight="0" orientation="landscape" horizontalDpi="600" vertic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view="pageBreakPreview" zoomScale="115" zoomScaleNormal="100" workbookViewId="0">
      <selection activeCell="I8" sqref="I8"/>
    </sheetView>
  </sheetViews>
  <sheetFormatPr defaultColWidth="9" defaultRowHeight="13.5"/>
  <cols>
    <col min="1" max="1" width="5.25833333333333" style="156" customWidth="1"/>
    <col min="2" max="2" width="19.2583333333333" style="157" customWidth="1"/>
    <col min="3" max="3" width="38.8833333333333" style="157" customWidth="1"/>
    <col min="4" max="4" width="10.8833333333333" style="158" customWidth="1"/>
    <col min="5" max="5" width="37" style="157" customWidth="1"/>
    <col min="6" max="6" width="35.3833333333333" style="157" customWidth="1"/>
    <col min="7" max="7" width="20.6333333333333" style="157" customWidth="1"/>
    <col min="8" max="8" width="9.38333333333333" style="155"/>
    <col min="9" max="9" width="14.1333333333333" style="159"/>
    <col min="10" max="11" width="12.6333333333333" style="155"/>
    <col min="12" max="12" width="9" style="155"/>
    <col min="13" max="13" width="10.3833333333333" style="155"/>
    <col min="14" max="16384" width="9" style="155"/>
  </cols>
  <sheetData>
    <row r="1" s="143" customFormat="1" ht="38.1" customHeight="1" spans="1:9">
      <c r="A1" s="160" t="s">
        <v>40</v>
      </c>
      <c r="B1" s="160"/>
      <c r="C1" s="160"/>
      <c r="D1" s="161"/>
      <c r="E1" s="160"/>
      <c r="F1" s="160"/>
      <c r="G1" s="160"/>
      <c r="I1" s="203"/>
    </row>
    <row r="2" s="143" customFormat="1" ht="26.1" customHeight="1" spans="1:9">
      <c r="A2" s="162" t="s">
        <v>41</v>
      </c>
      <c r="B2" s="162"/>
      <c r="C2" s="162"/>
      <c r="D2" s="163"/>
      <c r="E2" s="162"/>
      <c r="F2" s="162"/>
      <c r="G2" s="162"/>
      <c r="I2" s="203"/>
    </row>
    <row r="3" s="144" customFormat="1" ht="33.95" customHeight="1" spans="1:9">
      <c r="A3" s="164" t="s">
        <v>3</v>
      </c>
      <c r="B3" s="164" t="s">
        <v>42</v>
      </c>
      <c r="C3" s="164" t="s">
        <v>43</v>
      </c>
      <c r="D3" s="165" t="s">
        <v>44</v>
      </c>
      <c r="E3" s="164" t="s">
        <v>45</v>
      </c>
      <c r="F3" s="164" t="s">
        <v>46</v>
      </c>
      <c r="G3" s="164" t="s">
        <v>47</v>
      </c>
      <c r="I3" s="204"/>
    </row>
    <row r="4" s="145" customFormat="1" ht="41" customHeight="1" spans="1:9">
      <c r="A4" s="166">
        <v>1</v>
      </c>
      <c r="B4" s="67" t="s">
        <v>48</v>
      </c>
      <c r="C4" s="167" t="s">
        <v>49</v>
      </c>
      <c r="D4" s="168">
        <f>SUM(D5:D8)</f>
        <v>56.45</v>
      </c>
      <c r="E4" s="169" t="s">
        <v>50</v>
      </c>
      <c r="F4" s="167" t="s">
        <v>51</v>
      </c>
      <c r="G4" s="167"/>
      <c r="H4" s="145" t="s">
        <v>52</v>
      </c>
      <c r="I4" s="205" t="e">
        <f>#REF!/10000</f>
        <v>#REF!</v>
      </c>
    </row>
    <row r="5" s="145" customFormat="1" ht="41" customHeight="1" spans="1:9">
      <c r="A5" s="166">
        <f t="shared" ref="A5:A8" si="0">+A4+0.1</f>
        <v>1.1</v>
      </c>
      <c r="B5" s="67" t="s">
        <v>53</v>
      </c>
      <c r="C5" s="167"/>
      <c r="D5" s="170">
        <v>12</v>
      </c>
      <c r="E5" s="171">
        <v>12</v>
      </c>
      <c r="F5" s="167" t="s">
        <v>54</v>
      </c>
      <c r="G5" s="167"/>
      <c r="H5" s="145" t="s">
        <v>55</v>
      </c>
      <c r="I5" s="206">
        <v>36361.21</v>
      </c>
    </row>
    <row r="6" s="145" customFormat="1" ht="41" customHeight="1" spans="1:9">
      <c r="A6" s="166">
        <f t="shared" si="0"/>
        <v>1.2</v>
      </c>
      <c r="B6" s="67" t="s">
        <v>56</v>
      </c>
      <c r="C6" s="167"/>
      <c r="D6" s="170">
        <v>12</v>
      </c>
      <c r="E6" s="171">
        <v>12</v>
      </c>
      <c r="F6" s="167" t="s">
        <v>54</v>
      </c>
      <c r="G6" s="167"/>
      <c r="I6" s="205"/>
    </row>
    <row r="7" s="146" customFormat="1" ht="41" customHeight="1" spans="1:9">
      <c r="A7" s="172">
        <f t="shared" si="0"/>
        <v>1.3</v>
      </c>
      <c r="B7" s="173" t="s">
        <v>57</v>
      </c>
      <c r="C7" s="71"/>
      <c r="D7" s="174">
        <v>24</v>
      </c>
      <c r="E7" s="175">
        <v>24</v>
      </c>
      <c r="F7" s="71" t="s">
        <v>58</v>
      </c>
      <c r="G7" s="71"/>
      <c r="I7" s="207"/>
    </row>
    <row r="8" s="146" customFormat="1" ht="41" customHeight="1" spans="1:9">
      <c r="A8" s="172">
        <f t="shared" si="0"/>
        <v>1.4</v>
      </c>
      <c r="B8" s="173" t="s">
        <v>59</v>
      </c>
      <c r="C8" s="71"/>
      <c r="D8" s="174">
        <v>8.45</v>
      </c>
      <c r="E8" s="175">
        <v>8.45</v>
      </c>
      <c r="F8" s="71" t="s">
        <v>58</v>
      </c>
      <c r="G8" s="71"/>
      <c r="I8" s="207"/>
    </row>
    <row r="9" s="145" customFormat="1" ht="48" customHeight="1" spans="1:7">
      <c r="A9" s="166">
        <v>2</v>
      </c>
      <c r="B9" s="67" t="s">
        <v>60</v>
      </c>
      <c r="C9" s="167" t="s">
        <v>61</v>
      </c>
      <c r="D9" s="170">
        <f>(28+(40068.48-10000)*(75-28)/(50000-10000))*0.8*1*0.8</f>
        <v>40.53</v>
      </c>
      <c r="E9" s="176" t="s">
        <v>62</v>
      </c>
      <c r="F9" s="177" t="s">
        <v>63</v>
      </c>
      <c r="G9" s="167"/>
    </row>
    <row r="10" s="145" customFormat="1" ht="67" customHeight="1" spans="1:10">
      <c r="A10" s="166">
        <v>3</v>
      </c>
      <c r="B10" s="178" t="s">
        <v>64</v>
      </c>
      <c r="C10" s="167" t="s">
        <v>65</v>
      </c>
      <c r="D10" s="170" t="e">
        <f>(15+(I4-20000)*(35-15)/(140000-20000))*0.6*0.8*0.8+4</f>
        <v>#REF!</v>
      </c>
      <c r="E10" s="176" t="s">
        <v>66</v>
      </c>
      <c r="F10" s="177" t="s">
        <v>67</v>
      </c>
      <c r="G10" s="167"/>
      <c r="I10" s="206"/>
      <c r="J10" s="208"/>
    </row>
    <row r="11" s="145" customFormat="1" ht="36" customHeight="1" spans="1:9">
      <c r="A11" s="166">
        <v>4</v>
      </c>
      <c r="B11" s="178" t="s">
        <v>68</v>
      </c>
      <c r="C11" s="167" t="s">
        <v>69</v>
      </c>
      <c r="D11" s="179" t="e">
        <f>(I4)*0.5/100</f>
        <v>#REF!</v>
      </c>
      <c r="E11" s="180" t="s">
        <v>70</v>
      </c>
      <c r="F11" s="177" t="s">
        <v>71</v>
      </c>
      <c r="G11" s="167"/>
      <c r="I11" s="206"/>
    </row>
    <row r="12" s="145" customFormat="1" ht="36" customHeight="1" spans="1:9">
      <c r="A12" s="166">
        <v>5</v>
      </c>
      <c r="B12" s="178" t="s">
        <v>72</v>
      </c>
      <c r="C12" s="167" t="s">
        <v>73</v>
      </c>
      <c r="D12" s="181" t="e">
        <f>(D13)*20/100</f>
        <v>#REF!</v>
      </c>
      <c r="E12" s="176" t="s">
        <v>74</v>
      </c>
      <c r="F12" s="177" t="s">
        <v>75</v>
      </c>
      <c r="G12" s="167"/>
      <c r="I12" s="206"/>
    </row>
    <row r="13" s="147" customFormat="1" ht="36" customHeight="1" spans="1:9">
      <c r="A13" s="166">
        <v>6</v>
      </c>
      <c r="B13" s="182" t="s">
        <v>22</v>
      </c>
      <c r="C13" s="183" t="s">
        <v>76</v>
      </c>
      <c r="D13" s="184" t="e">
        <f>(566.8+(I4-20000)*(1054-566.8)/(40000-20000))*1*1*0.8-16</f>
        <v>#REF!</v>
      </c>
      <c r="E13" s="185" t="s">
        <v>77</v>
      </c>
      <c r="F13" s="183" t="s">
        <v>78</v>
      </c>
      <c r="G13" s="183"/>
      <c r="I13" s="209"/>
    </row>
    <row r="14" s="146" customFormat="1" ht="36" customHeight="1" spans="1:9">
      <c r="A14" s="166">
        <v>7</v>
      </c>
      <c r="B14" s="186" t="s">
        <v>79</v>
      </c>
      <c r="C14" s="71" t="s">
        <v>80</v>
      </c>
      <c r="D14" s="187" t="e">
        <f>(D13+D12)*6.5/100</f>
        <v>#REF!</v>
      </c>
      <c r="E14" s="188" t="s">
        <v>81</v>
      </c>
      <c r="F14" s="71" t="s">
        <v>82</v>
      </c>
      <c r="G14" s="71"/>
      <c r="I14" s="210"/>
    </row>
    <row r="15" s="145" customFormat="1" ht="50" customHeight="1" spans="1:9">
      <c r="A15" s="166">
        <v>8</v>
      </c>
      <c r="B15" s="67" t="s">
        <v>83</v>
      </c>
      <c r="C15" s="169" t="s">
        <v>61</v>
      </c>
      <c r="D15" s="179" t="e">
        <f>(393.4+(I4-20000)*(708.2-393.4)/(40000-20000))*0.8</f>
        <v>#REF!</v>
      </c>
      <c r="E15" s="180" t="s">
        <v>84</v>
      </c>
      <c r="F15" s="167" t="s">
        <v>85</v>
      </c>
      <c r="G15" s="167"/>
      <c r="I15" s="211"/>
    </row>
    <row r="16" s="146" customFormat="1" ht="41" customHeight="1" spans="1:9">
      <c r="A16" s="166">
        <v>9</v>
      </c>
      <c r="B16" s="186" t="s">
        <v>86</v>
      </c>
      <c r="C16" s="71" t="s">
        <v>87</v>
      </c>
      <c r="D16" s="187" t="e">
        <f>+造价咨询费!Q12</f>
        <v>#REF!</v>
      </c>
      <c r="E16" s="188">
        <v>101.76</v>
      </c>
      <c r="F16" s="71" t="s">
        <v>88</v>
      </c>
      <c r="G16" s="71"/>
      <c r="I16" s="210"/>
    </row>
    <row r="17" s="148" customFormat="1" ht="41" customHeight="1" spans="1:9">
      <c r="A17" s="166">
        <v>10</v>
      </c>
      <c r="B17" s="189" t="s">
        <v>89</v>
      </c>
      <c r="C17" s="190"/>
      <c r="D17" s="191" t="e">
        <f>+I4*0.5%</f>
        <v>#REF!</v>
      </c>
      <c r="E17" s="192" t="s">
        <v>70</v>
      </c>
      <c r="F17" s="190" t="s">
        <v>90</v>
      </c>
      <c r="G17" s="190"/>
      <c r="I17" s="212"/>
    </row>
    <row r="18" s="145" customFormat="1" ht="108" spans="1:9">
      <c r="A18" s="166">
        <v>11</v>
      </c>
      <c r="B18" s="67" t="s">
        <v>28</v>
      </c>
      <c r="C18" s="167" t="s">
        <v>91</v>
      </c>
      <c r="D18" s="181" t="e">
        <f>(I4)*1%</f>
        <v>#REF!</v>
      </c>
      <c r="E18" s="176" t="s">
        <v>92</v>
      </c>
      <c r="F18" s="167" t="s">
        <v>93</v>
      </c>
      <c r="G18" s="167"/>
      <c r="I18" s="206"/>
    </row>
    <row r="19" s="149" customFormat="1" ht="36" spans="1:9">
      <c r="A19" s="166">
        <v>12</v>
      </c>
      <c r="B19" s="67" t="s">
        <v>30</v>
      </c>
      <c r="C19" s="167" t="s">
        <v>94</v>
      </c>
      <c r="D19" s="179" t="e">
        <f>I4*0.3%</f>
        <v>#REF!</v>
      </c>
      <c r="E19" s="180" t="s">
        <v>95</v>
      </c>
      <c r="F19" s="167" t="s">
        <v>96</v>
      </c>
      <c r="G19" s="167"/>
      <c r="H19" s="145"/>
      <c r="I19" s="213"/>
    </row>
    <row r="20" s="150" customFormat="1" ht="35" customHeight="1" spans="1:9">
      <c r="A20" s="166">
        <v>13</v>
      </c>
      <c r="B20" s="173" t="s">
        <v>97</v>
      </c>
      <c r="C20" s="71" t="s">
        <v>98</v>
      </c>
      <c r="D20" s="187">
        <v>8.5</v>
      </c>
      <c r="E20" s="188">
        <v>8.5</v>
      </c>
      <c r="F20" s="71" t="s">
        <v>99</v>
      </c>
      <c r="G20" s="71"/>
      <c r="H20" s="146"/>
      <c r="I20" s="214"/>
    </row>
    <row r="21" s="151" customFormat="1" ht="35" customHeight="1" spans="1:9">
      <c r="A21" s="166">
        <v>14</v>
      </c>
      <c r="B21" s="193" t="s">
        <v>100</v>
      </c>
      <c r="C21" s="183"/>
      <c r="D21" s="194">
        <v>25</v>
      </c>
      <c r="E21" s="195">
        <v>25</v>
      </c>
      <c r="F21" s="183" t="s">
        <v>101</v>
      </c>
      <c r="G21" s="183"/>
      <c r="H21" s="147"/>
      <c r="I21" s="215"/>
    </row>
    <row r="22" s="152" customFormat="1" ht="35" customHeight="1" spans="1:9">
      <c r="A22" s="166">
        <v>15</v>
      </c>
      <c r="B22" s="196" t="s">
        <v>102</v>
      </c>
      <c r="C22" s="197"/>
      <c r="D22" s="198">
        <v>10</v>
      </c>
      <c r="E22" s="199">
        <v>10</v>
      </c>
      <c r="F22" s="183" t="s">
        <v>101</v>
      </c>
      <c r="G22" s="197"/>
      <c r="H22" s="200"/>
      <c r="I22" s="216"/>
    </row>
    <row r="23" s="150" customFormat="1" ht="35" customHeight="1" spans="1:9">
      <c r="A23" s="166">
        <v>16</v>
      </c>
      <c r="B23" s="173" t="s">
        <v>103</v>
      </c>
      <c r="C23" s="71"/>
      <c r="D23" s="187">
        <v>29.8</v>
      </c>
      <c r="E23" s="188">
        <v>29.8</v>
      </c>
      <c r="F23" s="71" t="s">
        <v>104</v>
      </c>
      <c r="G23" s="71"/>
      <c r="H23" s="146"/>
      <c r="I23" s="214"/>
    </row>
    <row r="24" s="153" customFormat="1" ht="35" customHeight="1" spans="1:9">
      <c r="A24" s="166">
        <v>17</v>
      </c>
      <c r="B24" s="67" t="s">
        <v>32</v>
      </c>
      <c r="C24" s="167" t="s">
        <v>105</v>
      </c>
      <c r="D24" s="179">
        <f>(I24*3)/10000</f>
        <v>3.61</v>
      </c>
      <c r="E24" s="180" t="s">
        <v>106</v>
      </c>
      <c r="F24" s="167" t="s">
        <v>107</v>
      </c>
      <c r="G24" s="167"/>
      <c r="H24" s="145"/>
      <c r="I24" s="217">
        <v>12046.9</v>
      </c>
    </row>
    <row r="25" s="150" customFormat="1" ht="35" customHeight="1" spans="1:9">
      <c r="A25" s="166">
        <v>18</v>
      </c>
      <c r="B25" s="173" t="s">
        <v>108</v>
      </c>
      <c r="C25" s="71"/>
      <c r="D25" s="187">
        <v>12.6</v>
      </c>
      <c r="E25" s="188">
        <v>12.6</v>
      </c>
      <c r="F25" s="71" t="s">
        <v>109</v>
      </c>
      <c r="G25" s="71"/>
      <c r="H25" s="146"/>
      <c r="I25" s="214"/>
    </row>
    <row r="26" s="150" customFormat="1" ht="29" customHeight="1" spans="1:9">
      <c r="A26" s="166">
        <v>19</v>
      </c>
      <c r="B26" s="173" t="s">
        <v>110</v>
      </c>
      <c r="C26" s="71"/>
      <c r="D26" s="187">
        <v>14</v>
      </c>
      <c r="E26" s="188">
        <v>14</v>
      </c>
      <c r="F26" s="71" t="s">
        <v>99</v>
      </c>
      <c r="G26" s="71"/>
      <c r="H26" s="146"/>
      <c r="I26" s="214"/>
    </row>
    <row r="27" s="150" customFormat="1" ht="29" customHeight="1" spans="1:9">
      <c r="A27" s="166">
        <v>20</v>
      </c>
      <c r="B27" s="173" t="s">
        <v>111</v>
      </c>
      <c r="C27" s="71"/>
      <c r="D27" s="187">
        <f>86400/10000</f>
        <v>8.64</v>
      </c>
      <c r="E27" s="188">
        <v>8.64</v>
      </c>
      <c r="F27" s="71" t="s">
        <v>58</v>
      </c>
      <c r="G27" s="71"/>
      <c r="H27" s="146"/>
      <c r="I27" s="214"/>
    </row>
    <row r="28" s="150" customFormat="1" ht="29" customHeight="1" spans="1:9">
      <c r="A28" s="166">
        <v>21</v>
      </c>
      <c r="B28" s="173" t="s">
        <v>112</v>
      </c>
      <c r="C28" s="71"/>
      <c r="D28" s="187">
        <v>13</v>
      </c>
      <c r="E28" s="188">
        <v>13</v>
      </c>
      <c r="F28" s="71" t="s">
        <v>58</v>
      </c>
      <c r="G28" s="71"/>
      <c r="H28" s="146"/>
      <c r="I28" s="214"/>
    </row>
    <row r="29" s="153" customFormat="1" ht="35" customHeight="1" spans="1:9">
      <c r="A29" s="166">
        <v>22</v>
      </c>
      <c r="B29" s="67" t="s">
        <v>113</v>
      </c>
      <c r="C29" s="167"/>
      <c r="D29" s="179">
        <f>I24*5%*1600/10000</f>
        <v>96.38</v>
      </c>
      <c r="E29" s="180" t="s">
        <v>114</v>
      </c>
      <c r="F29" s="167" t="s">
        <v>115</v>
      </c>
      <c r="G29" s="167"/>
      <c r="H29" s="145"/>
      <c r="I29" s="217"/>
    </row>
    <row r="30" s="150" customFormat="1" ht="35" customHeight="1" spans="1:9">
      <c r="A30" s="166">
        <v>23</v>
      </c>
      <c r="B30" s="173" t="s">
        <v>116</v>
      </c>
      <c r="C30" s="71"/>
      <c r="D30" s="187">
        <v>16</v>
      </c>
      <c r="E30" s="188">
        <v>16</v>
      </c>
      <c r="F30" s="71" t="s">
        <v>58</v>
      </c>
      <c r="G30" s="71"/>
      <c r="H30" s="146"/>
      <c r="I30" s="214"/>
    </row>
    <row r="31" s="154" customFormat="1" ht="28" customHeight="1" spans="1:9">
      <c r="A31" s="166">
        <v>24</v>
      </c>
      <c r="B31" s="201" t="s">
        <v>117</v>
      </c>
      <c r="C31" s="201"/>
      <c r="D31" s="202" t="e">
        <f>SUM(D5:D30)</f>
        <v>#REF!</v>
      </c>
      <c r="E31" s="180"/>
      <c r="F31" s="201"/>
      <c r="G31" s="201"/>
      <c r="I31" s="218"/>
    </row>
    <row r="32" s="155" customFormat="1" ht="27" customHeight="1" spans="1:9">
      <c r="A32" s="156"/>
      <c r="B32" s="157"/>
      <c r="C32" s="157"/>
      <c r="D32" s="158"/>
      <c r="E32" s="157"/>
      <c r="F32" s="157"/>
      <c r="G32" s="157"/>
      <c r="I32" s="159"/>
    </row>
    <row r="33" s="155" customFormat="1" ht="27" customHeight="1" spans="1:9">
      <c r="A33" s="156"/>
      <c r="B33" s="157"/>
      <c r="C33" s="157"/>
      <c r="D33" s="158"/>
      <c r="E33" s="157"/>
      <c r="F33" s="157"/>
      <c r="G33" s="157"/>
      <c r="I33" s="159"/>
    </row>
  </sheetData>
  <mergeCells count="2">
    <mergeCell ref="A1:G1"/>
    <mergeCell ref="A2:G2"/>
  </mergeCells>
  <printOptions horizontalCentered="1"/>
  <pageMargins left="0.393055555555556" right="0.393055555555556" top="1" bottom="1" header="0.5" footer="0.5"/>
  <pageSetup paperSize="9" scale="84" orientation="landscape" horizontalDpi="600"/>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3"/>
  <sheetViews>
    <sheetView topLeftCell="A4" workbookViewId="0">
      <selection activeCell="Q12" sqref="Q12"/>
    </sheetView>
  </sheetViews>
  <sheetFormatPr defaultColWidth="8.1" defaultRowHeight="14.25"/>
  <cols>
    <col min="1" max="1" width="3.26666666666667" style="101" customWidth="1"/>
    <col min="2" max="2" width="6.86666666666667" style="103" customWidth="1"/>
    <col min="3" max="3" width="10.4666666666667" style="103" customWidth="1"/>
    <col min="4" max="4" width="15.1916666666667" style="104" customWidth="1"/>
    <col min="5" max="5" width="11.1" style="103" customWidth="1"/>
    <col min="6" max="11" width="7.31666666666667" style="103" customWidth="1"/>
    <col min="12" max="12" width="15.4" style="103" customWidth="1"/>
    <col min="13" max="13" width="12.3" style="103" customWidth="1"/>
    <col min="14" max="14" width="16.425" style="101" customWidth="1"/>
    <col min="15" max="15" width="11.475" style="101"/>
    <col min="16" max="17" width="11.1333333333333" style="101"/>
    <col min="18" max="255" width="8.1" style="101"/>
    <col min="256" max="16384" width="8.1" style="105"/>
  </cols>
  <sheetData>
    <row r="1" s="101" customFormat="1" ht="33" customHeight="1" spans="1:13">
      <c r="A1" s="106" t="s">
        <v>118</v>
      </c>
      <c r="B1" s="106"/>
      <c r="C1" s="106"/>
      <c r="D1" s="106"/>
      <c r="E1" s="106"/>
      <c r="F1" s="106"/>
      <c r="G1" s="106"/>
      <c r="H1" s="106"/>
      <c r="I1" s="106"/>
      <c r="J1" s="106"/>
      <c r="K1" s="106"/>
      <c r="L1" s="106"/>
      <c r="M1" s="106"/>
    </row>
    <row r="2" s="102" customFormat="1" ht="23.25" customHeight="1" spans="1:14">
      <c r="A2" s="107" t="s">
        <v>3</v>
      </c>
      <c r="B2" s="108" t="s">
        <v>119</v>
      </c>
      <c r="C2" s="108"/>
      <c r="D2" s="108" t="s">
        <v>120</v>
      </c>
      <c r="E2" s="108" t="s">
        <v>121</v>
      </c>
      <c r="F2" s="108" t="s">
        <v>122</v>
      </c>
      <c r="G2" s="108" t="s">
        <v>123</v>
      </c>
      <c r="H2" s="108" t="s">
        <v>124</v>
      </c>
      <c r="I2" s="108" t="s">
        <v>125</v>
      </c>
      <c r="J2" s="108" t="s">
        <v>126</v>
      </c>
      <c r="K2" s="108" t="s">
        <v>127</v>
      </c>
      <c r="L2" s="108" t="s">
        <v>128</v>
      </c>
      <c r="M2" s="108"/>
      <c r="N2" s="108" t="s">
        <v>47</v>
      </c>
    </row>
    <row r="3" s="102" customFormat="1" ht="23.25" customHeight="1" spans="1:14">
      <c r="A3" s="108">
        <v>1</v>
      </c>
      <c r="B3" s="108" t="s">
        <v>129</v>
      </c>
      <c r="C3" s="108"/>
      <c r="D3" s="109" t="s">
        <v>130</v>
      </c>
      <c r="E3" s="108" t="s">
        <v>131</v>
      </c>
      <c r="F3" s="108" t="s">
        <v>132</v>
      </c>
      <c r="G3" s="108" t="s">
        <v>133</v>
      </c>
      <c r="H3" s="108" t="s">
        <v>134</v>
      </c>
      <c r="I3" s="108" t="s">
        <v>135</v>
      </c>
      <c r="J3" s="108" t="s">
        <v>136</v>
      </c>
      <c r="K3" s="108" t="s">
        <v>137</v>
      </c>
      <c r="L3" s="108"/>
      <c r="M3" s="108"/>
      <c r="N3" s="108"/>
    </row>
    <row r="4" s="102" customFormat="1" ht="23.25" customHeight="1" spans="1:14">
      <c r="A4" s="108"/>
      <c r="B4" s="108"/>
      <c r="C4" s="108"/>
      <c r="D4" s="109"/>
      <c r="E4" s="110"/>
      <c r="F4" s="111">
        <f>IF(E4&gt;=500,500*2.5/1000,E4*2.5/1000)</f>
        <v>0</v>
      </c>
      <c r="G4" s="111">
        <f>IF(E4&lt;=500,0,IF(E4&gt;=5000,4500*2.2/1000,(E4-500)*2.2/1000))</f>
        <v>0</v>
      </c>
      <c r="H4" s="111">
        <f>IF(E4&lt;=5000,0,IF(E4&gt;=10000,5000*2/1000,(E4-5000)*2/1000))</f>
        <v>0</v>
      </c>
      <c r="I4" s="111">
        <f>IF(E4&lt;=10000,0,IF(E4&gt;=50000,40000*1.8/1000,(E4-10000)*1.8/1000))</f>
        <v>0</v>
      </c>
      <c r="J4" s="111">
        <f>IF(F4&lt;=10000,0,IF(F4&gt;=50000,40000*1.8/1000,(F4-10000)*1.8/1000))</f>
        <v>0</v>
      </c>
      <c r="K4" s="111">
        <f>IF(E4&lt;50000,0,(E4-50000)*1.5/1000)</f>
        <v>0</v>
      </c>
      <c r="L4" s="111">
        <f t="shared" ref="L4:L8" si="0">SUM(F4:K4)</f>
        <v>0</v>
      </c>
      <c r="M4" s="111"/>
      <c r="N4" s="108"/>
    </row>
    <row r="5" s="102" customFormat="1" ht="23.25" customHeight="1" spans="1:14">
      <c r="A5" s="108">
        <v>2</v>
      </c>
      <c r="B5" s="108" t="s">
        <v>138</v>
      </c>
      <c r="C5" s="108"/>
      <c r="D5" s="109" t="s">
        <v>139</v>
      </c>
      <c r="E5" s="108" t="s">
        <v>140</v>
      </c>
      <c r="F5" s="108" t="s">
        <v>141</v>
      </c>
      <c r="G5" s="108" t="s">
        <v>142</v>
      </c>
      <c r="H5" s="108" t="s">
        <v>143</v>
      </c>
      <c r="I5" s="108" t="s">
        <v>132</v>
      </c>
      <c r="J5" s="108" t="s">
        <v>144</v>
      </c>
      <c r="K5" s="108" t="s">
        <v>133</v>
      </c>
      <c r="L5" s="111"/>
      <c r="M5" s="111"/>
      <c r="N5" s="108"/>
    </row>
    <row r="6" s="102" customFormat="1" ht="15.95" customHeight="1" spans="1:14">
      <c r="A6" s="108"/>
      <c r="B6" s="108"/>
      <c r="C6" s="108"/>
      <c r="D6" s="109"/>
      <c r="E6" s="110"/>
      <c r="F6" s="111">
        <f>IF(E6&gt;=100,100*2.5/1000,E6*2.5/1000)</f>
        <v>0</v>
      </c>
      <c r="G6" s="111">
        <f>IF(E6&lt;=100,0,IF(E6&gt;=500,400*2/1000,(E6-100)*2/1000))</f>
        <v>0</v>
      </c>
      <c r="H6" s="111">
        <f>IF(E6&lt;=500,0,IF(E6&gt;=1000,500*1.8/1000,(E6-500)*1.8/1000))</f>
        <v>0</v>
      </c>
      <c r="I6" s="111">
        <f>IF(E6&lt;=1000,0,IF(E6&gt;=5000,4000*1.5/1000,(E6-1000)*1.5/1000))</f>
        <v>0</v>
      </c>
      <c r="J6" s="111">
        <f>IF(E6&lt;=5000,0,IF(E6&gt;=10000,5000*1.3/1000,(E6-5000)*1.3/1000))</f>
        <v>0</v>
      </c>
      <c r="K6" s="111">
        <f>IF(E6&lt;50000,0,(E6-50000)*1.5/1000)</f>
        <v>0</v>
      </c>
      <c r="L6" s="111"/>
      <c r="M6" s="111"/>
      <c r="N6" s="108"/>
    </row>
    <row r="7" s="102" customFormat="1" ht="23.25" customHeight="1" spans="1:14">
      <c r="A7" s="108">
        <v>3</v>
      </c>
      <c r="B7" s="108" t="s">
        <v>145</v>
      </c>
      <c r="C7" s="108" t="s">
        <v>146</v>
      </c>
      <c r="D7" s="108" t="s">
        <v>147</v>
      </c>
      <c r="E7" s="108" t="s">
        <v>148</v>
      </c>
      <c r="F7" s="108" t="s">
        <v>149</v>
      </c>
      <c r="G7" s="108" t="s">
        <v>150</v>
      </c>
      <c r="H7" s="108" t="s">
        <v>151</v>
      </c>
      <c r="I7" s="108" t="s">
        <v>152</v>
      </c>
      <c r="J7" s="108" t="s">
        <v>141</v>
      </c>
      <c r="K7" s="108" t="s">
        <v>142</v>
      </c>
      <c r="L7" s="108"/>
      <c r="M7" s="108"/>
      <c r="N7" s="108" t="s">
        <v>153</v>
      </c>
    </row>
    <row r="8" s="102" customFormat="1" ht="23.25" customHeight="1" spans="1:14">
      <c r="A8" s="108"/>
      <c r="B8" s="108"/>
      <c r="C8" s="108"/>
      <c r="D8" s="108"/>
      <c r="E8" s="110" t="e">
        <f>+#REF!</f>
        <v>#REF!</v>
      </c>
      <c r="F8" s="112" t="e">
        <f>IF(E8&gt;=100,100*3/1000,E8*3/1000)</f>
        <v>#REF!</v>
      </c>
      <c r="G8" s="112" t="e">
        <f>IF(E8&lt;=100,0,IF(E8&gt;=500,400*2.5/1000,(E8-100)*2.5/1000))</f>
        <v>#REF!</v>
      </c>
      <c r="H8" s="112" t="e">
        <f>IF(E8&lt;=500,0,IF(E8&gt;=1000,500*2.4/1000,(E8-500)*2.4/1000))</f>
        <v>#REF!</v>
      </c>
      <c r="I8" s="112" t="e">
        <f>IF(E8&lt;=1000,0,IF(E8&gt;=5000,4000*2.2/1000,(E8-1000)*2.2/1000))</f>
        <v>#REF!</v>
      </c>
      <c r="J8" s="112" t="e">
        <f>IF(E8&lt;=5000,0,IF(E8&gt;=10000,5000*2/1000,(E8-5000)*2/1000))</f>
        <v>#REF!</v>
      </c>
      <c r="K8" s="112" t="e">
        <f>IF(E8&lt;=10000,0,(E8-10000)*1.8/1000)</f>
        <v>#REF!</v>
      </c>
      <c r="L8" s="132" t="e">
        <f t="shared" si="0"/>
        <v>#REF!</v>
      </c>
      <c r="M8" s="112"/>
      <c r="N8" s="108"/>
    </row>
    <row r="9" s="102" customFormat="1" ht="23.25" customHeight="1" spans="1:14">
      <c r="A9" s="108"/>
      <c r="B9" s="108"/>
      <c r="C9" s="108"/>
      <c r="D9" s="108" t="s">
        <v>154</v>
      </c>
      <c r="E9" s="108" t="s">
        <v>148</v>
      </c>
      <c r="F9" s="108" t="s">
        <v>142</v>
      </c>
      <c r="G9" s="108" t="s">
        <v>143</v>
      </c>
      <c r="H9" s="108" t="s">
        <v>155</v>
      </c>
      <c r="I9" s="108" t="s">
        <v>144</v>
      </c>
      <c r="J9" s="108" t="s">
        <v>134</v>
      </c>
      <c r="K9" s="108" t="s">
        <v>156</v>
      </c>
      <c r="L9" s="108"/>
      <c r="M9" s="108"/>
      <c r="N9" s="108" t="s">
        <v>153</v>
      </c>
    </row>
    <row r="10" s="102" customFormat="1" ht="21" customHeight="1" spans="1:16">
      <c r="A10" s="108"/>
      <c r="B10" s="108"/>
      <c r="C10" s="108"/>
      <c r="D10" s="108"/>
      <c r="E10" s="110"/>
      <c r="F10" s="112">
        <f>IF(E10&gt;=100,100*1.8/1000,E10*1.8/1000)</f>
        <v>0</v>
      </c>
      <c r="G10" s="112">
        <f>IF(E10&lt;=100,0,IF(E10&gt;=500,400*1.6/1000,(E10-100)*1.6/1000))</f>
        <v>0</v>
      </c>
      <c r="H10" s="112">
        <f>IF(E10&lt;=500,0,IF(E10&gt;=1000,500*1.4/1000,(E10-500)*1.4/1000))</f>
        <v>0</v>
      </c>
      <c r="I10" s="112">
        <f>IF(E10&lt;=1000,0,IF(E10&gt;=5000,4000*1.2/1000,(E10-1000)*1.2/1000))</f>
        <v>0</v>
      </c>
      <c r="J10" s="112">
        <f>IF(E10&lt;=5000,0,IF(E10&gt;=10000,5000*0.9/1000,(E10-5000)*0.9/1000))</f>
        <v>0</v>
      </c>
      <c r="K10" s="112">
        <f>IF(E10&lt;=10000,0,(E10-10000)*0.8/1000)</f>
        <v>0</v>
      </c>
      <c r="L10" s="112"/>
      <c r="M10" s="112"/>
      <c r="N10" s="108"/>
      <c r="P10" s="133" t="e">
        <f>+L8+L14+L24</f>
        <v>#REF!</v>
      </c>
    </row>
    <row r="11" s="102" customFormat="1" ht="23.25" customHeight="1" spans="1:18">
      <c r="A11" s="108"/>
      <c r="B11" s="108"/>
      <c r="C11" s="108" t="s">
        <v>157</v>
      </c>
      <c r="D11" s="108" t="s">
        <v>158</v>
      </c>
      <c r="E11" s="108" t="s">
        <v>148</v>
      </c>
      <c r="F11" s="108" t="s">
        <v>159</v>
      </c>
      <c r="G11" s="108" t="s">
        <v>160</v>
      </c>
      <c r="H11" s="108" t="s">
        <v>149</v>
      </c>
      <c r="I11" s="108" t="s">
        <v>150</v>
      </c>
      <c r="J11" s="108" t="s">
        <v>141</v>
      </c>
      <c r="K11" s="108" t="s">
        <v>161</v>
      </c>
      <c r="L11" s="108"/>
      <c r="M11" s="108"/>
      <c r="N11" s="108"/>
      <c r="P11" s="102">
        <f>8+10+15+2+1+2+1+6+3+4+1+10+5+10+2+2+20+15+7+20+13+15+10+10+6+12+10+5+31+42+20+21+7+33+26+14+20+40+52+25+3+114+40+123+67+3+2</f>
        <v>908</v>
      </c>
      <c r="Q11" s="102">
        <v>12</v>
      </c>
      <c r="R11" s="102">
        <f>+P11*Q11</f>
        <v>10896</v>
      </c>
    </row>
    <row r="12" s="102" customFormat="1" ht="23.25" customHeight="1" spans="1:17">
      <c r="A12" s="108"/>
      <c r="B12" s="108"/>
      <c r="C12" s="108"/>
      <c r="D12" s="108"/>
      <c r="E12" s="110"/>
      <c r="F12" s="111"/>
      <c r="G12" s="111">
        <f>IF(E12&lt;=500,0,IF(E12&gt;=5000,4500*3/1000,(E12-500)*3/1000))</f>
        <v>0</v>
      </c>
      <c r="H12" s="111">
        <f>IF(E12&lt;=5000,0,IF(E12&gt;=10000,5000*2.5/1000,(E12-5000)*2.5/1000))</f>
        <v>0</v>
      </c>
      <c r="I12" s="111">
        <f>IF(E12&lt;=10000,0,IF(E12&gt;=50000,40000*2/1000,(E12-10000)*2/1000))</f>
        <v>0</v>
      </c>
      <c r="J12" s="111"/>
      <c r="K12" s="111">
        <f>IF(E12&lt;50000,0,(E12-50000)*1.5/1000)</f>
        <v>0</v>
      </c>
      <c r="L12" s="111">
        <f t="shared" ref="L10:L14" si="1">SUM(F12:K12)</f>
        <v>0</v>
      </c>
      <c r="M12" s="111"/>
      <c r="N12" s="108"/>
      <c r="Q12" s="142" t="e">
        <f>+P10+R11/10000</f>
        <v>#REF!</v>
      </c>
    </row>
    <row r="13" s="102" customFormat="1" ht="23.25" customHeight="1" spans="1:14">
      <c r="A13" s="108">
        <v>4</v>
      </c>
      <c r="B13" s="108" t="s">
        <v>162</v>
      </c>
      <c r="C13" s="108" t="s">
        <v>163</v>
      </c>
      <c r="D13" s="109"/>
      <c r="E13" s="108" t="s">
        <v>164</v>
      </c>
      <c r="F13" s="108" t="s">
        <v>165</v>
      </c>
      <c r="G13" s="108" t="s">
        <v>159</v>
      </c>
      <c r="H13" s="108" t="s">
        <v>160</v>
      </c>
      <c r="I13" s="108" t="s">
        <v>166</v>
      </c>
      <c r="J13" s="108" t="s">
        <v>149</v>
      </c>
      <c r="K13" s="108" t="s">
        <v>150</v>
      </c>
      <c r="L13" s="108"/>
      <c r="M13" s="108"/>
      <c r="N13" s="108"/>
    </row>
    <row r="14" s="102" customFormat="1" ht="23.25" customHeight="1" spans="1:14">
      <c r="A14" s="108"/>
      <c r="B14" s="108"/>
      <c r="C14" s="108"/>
      <c r="D14" s="109"/>
      <c r="E14" s="110" t="e">
        <f>+E8</f>
        <v>#REF!</v>
      </c>
      <c r="F14" s="111" t="e">
        <f>IF(E14&gt;=500,500*4/1000,E14*4/1000)</f>
        <v>#REF!</v>
      </c>
      <c r="G14" s="111" t="e">
        <f>IF(E14&lt;=500,0,IF(E14&gt;=5000,4500*3.5/1000,(E14-500)*3.5/1000))</f>
        <v>#REF!</v>
      </c>
      <c r="H14" s="111" t="e">
        <f>IF(E14&lt;=5000,0,IF(E14&gt;=10000,5000*3/1000,(E14-5000)*3/1000))</f>
        <v>#REF!</v>
      </c>
      <c r="I14" s="111" t="e">
        <f>IF(E14&lt;=10000,0,IF(E14&gt;=50000,40000*2.5/1000,(E14-10000)*2.5/1000))</f>
        <v>#REF!</v>
      </c>
      <c r="J14" s="111"/>
      <c r="K14" s="111" t="e">
        <f>IF(E14&lt;50000,0,(E14-50000)*2/1000)</f>
        <v>#REF!</v>
      </c>
      <c r="L14" s="134" t="e">
        <f t="shared" si="1"/>
        <v>#REF!</v>
      </c>
      <c r="M14" s="111"/>
      <c r="N14" s="108"/>
    </row>
    <row r="15" s="102" customFormat="1" ht="23.25" customHeight="1" spans="1:14">
      <c r="A15" s="113">
        <v>5</v>
      </c>
      <c r="B15" s="113" t="s">
        <v>167</v>
      </c>
      <c r="C15" s="113" t="s">
        <v>168</v>
      </c>
      <c r="D15" s="114" t="s">
        <v>169</v>
      </c>
      <c r="E15" s="113" t="s">
        <v>170</v>
      </c>
      <c r="F15" s="113" t="s">
        <v>171</v>
      </c>
      <c r="G15" s="113" t="s">
        <v>150</v>
      </c>
      <c r="H15" s="113" t="s">
        <v>152</v>
      </c>
      <c r="I15" s="113" t="s">
        <v>143</v>
      </c>
      <c r="J15" s="113" t="s">
        <v>132</v>
      </c>
      <c r="K15" s="113" t="s">
        <v>172</v>
      </c>
      <c r="L15" s="113"/>
      <c r="M15" s="113"/>
      <c r="N15" s="113" t="s">
        <v>153</v>
      </c>
    </row>
    <row r="16" s="102" customFormat="1" ht="23.25" customHeight="1" spans="1:14">
      <c r="A16" s="113"/>
      <c r="B16" s="113"/>
      <c r="C16" s="113"/>
      <c r="D16" s="114"/>
      <c r="E16" s="115"/>
      <c r="F16" s="115">
        <f>IF(E16&gt;=100,100*2.8/1000,E16*2.8/1000)</f>
        <v>0</v>
      </c>
      <c r="G16" s="115">
        <f>IF(E16&lt;=100,0,IF(E16&gt;=500,400*2.5/1000,(E16-100)*2.5/1000))</f>
        <v>0</v>
      </c>
      <c r="H16" s="115">
        <f>IF(E16&lt;=500,0,IF(E16&gt;=1000,500*2.2/1000,(E16-500)*2.2/1000))</f>
        <v>0</v>
      </c>
      <c r="I16" s="115">
        <f>IF(E16&lt;=1000,0,IF(E16&gt;=5000,4000*1.6/1000,(E16-1000)*1.6/1000))</f>
        <v>0</v>
      </c>
      <c r="J16" s="115">
        <f>IF(E16&lt;=5000,0,IF(E16&gt;=10000,5000*1.3/1000,(E16-5000)*1.3/1000))</f>
        <v>0</v>
      </c>
      <c r="K16" s="135">
        <f>IF(E16&lt;=10000,0,(E16-10000)*1/1000)</f>
        <v>0</v>
      </c>
      <c r="L16" s="135"/>
      <c r="M16" s="119">
        <f>(L16+L18)*0.8</f>
        <v>0</v>
      </c>
      <c r="N16" s="113"/>
    </row>
    <row r="17" s="102" customFormat="1" ht="23.25" customHeight="1" spans="1:14">
      <c r="A17" s="113"/>
      <c r="B17" s="113"/>
      <c r="C17" s="113" t="s">
        <v>173</v>
      </c>
      <c r="D17" s="114"/>
      <c r="E17" s="113" t="s">
        <v>174</v>
      </c>
      <c r="F17" s="116">
        <v>0.05</v>
      </c>
      <c r="G17" s="113"/>
      <c r="H17" s="113"/>
      <c r="I17" s="113"/>
      <c r="J17" s="113"/>
      <c r="K17" s="113"/>
      <c r="L17" s="113"/>
      <c r="M17" s="136"/>
      <c r="N17" s="113"/>
    </row>
    <row r="18" s="102" customFormat="1" ht="15" customHeight="1" spans="1:14">
      <c r="A18" s="117"/>
      <c r="B18" s="117"/>
      <c r="C18" s="117"/>
      <c r="D18" s="118"/>
      <c r="E18" s="119">
        <v>100</v>
      </c>
      <c r="F18" s="120">
        <f>E18*0.05</f>
        <v>5</v>
      </c>
      <c r="G18" s="120"/>
      <c r="H18" s="120"/>
      <c r="I18" s="120"/>
      <c r="J18" s="120"/>
      <c r="K18" s="120"/>
      <c r="L18" s="120"/>
      <c r="M18" s="136"/>
      <c r="N18" s="117"/>
    </row>
    <row r="19" s="102" customFormat="1" ht="23.25" customHeight="1" spans="1:14">
      <c r="A19" s="108">
        <v>6</v>
      </c>
      <c r="B19" s="121" t="s">
        <v>175</v>
      </c>
      <c r="C19" s="122"/>
      <c r="D19" s="109" t="s">
        <v>176</v>
      </c>
      <c r="E19" s="108" t="s">
        <v>140</v>
      </c>
      <c r="F19" s="108" t="s">
        <v>177</v>
      </c>
      <c r="G19" s="108" t="s">
        <v>178</v>
      </c>
      <c r="H19" s="108" t="s">
        <v>179</v>
      </c>
      <c r="I19" s="108" t="s">
        <v>180</v>
      </c>
      <c r="J19" s="108" t="s">
        <v>181</v>
      </c>
      <c r="K19" s="108" t="s">
        <v>182</v>
      </c>
      <c r="L19" s="108"/>
      <c r="M19" s="108"/>
      <c r="N19" s="108" t="s">
        <v>153</v>
      </c>
    </row>
    <row r="20" s="102" customFormat="1" ht="23.25" customHeight="1" spans="1:14">
      <c r="A20" s="108"/>
      <c r="B20" s="123"/>
      <c r="C20" s="124"/>
      <c r="D20" s="109"/>
      <c r="E20" s="110" t="e">
        <f>+#REF!</f>
        <v>#REF!</v>
      </c>
      <c r="F20" s="112" t="e">
        <f>IF(E20&gt;=100,100*12/1000,E20*12/1000)</f>
        <v>#REF!</v>
      </c>
      <c r="G20" s="112" t="e">
        <f>IF(E20&lt;=100,0,IF(E20&gt;=500,400*11/1000,(E20-100)*11/1000))</f>
        <v>#REF!</v>
      </c>
      <c r="H20" s="112" t="e">
        <f>IF(E20&lt;=500,0,IF(E20&gt;=1000,500*10/1000,(E20-500)*10/1000))</f>
        <v>#REF!</v>
      </c>
      <c r="I20" s="112" t="e">
        <f>IF(E20&lt;=1000,0,IF(E20&gt;=5000,4000*9/1000,(E20-1000)*9/1000))</f>
        <v>#REF!</v>
      </c>
      <c r="J20" s="112" t="e">
        <f>IF(E20&lt;=5000,0,IF(E20&gt;=10000,5000*8/1000,(E20-5000)*8/1000))</f>
        <v>#REF!</v>
      </c>
      <c r="K20" s="112" t="e">
        <f>IF(E20&lt;=10000,0,(E20-10000)*7/1000)</f>
        <v>#REF!</v>
      </c>
      <c r="L20" s="137" t="e">
        <f t="shared" ref="L20:L24" si="2">SUM(F20:K20)</f>
        <v>#REF!</v>
      </c>
      <c r="M20" s="138"/>
      <c r="N20" s="108"/>
    </row>
    <row r="21" s="102" customFormat="1" ht="24" customHeight="1" spans="1:14">
      <c r="A21" s="125">
        <v>7</v>
      </c>
      <c r="B21" s="125" t="s">
        <v>183</v>
      </c>
      <c r="C21" s="125"/>
      <c r="D21" s="126"/>
      <c r="E21" s="125" t="s">
        <v>184</v>
      </c>
      <c r="F21" s="125" t="s">
        <v>177</v>
      </c>
      <c r="G21" s="125" t="s">
        <v>179</v>
      </c>
      <c r="H21" s="125" t="s">
        <v>181</v>
      </c>
      <c r="I21" s="125" t="s">
        <v>185</v>
      </c>
      <c r="J21" s="125" t="s">
        <v>186</v>
      </c>
      <c r="K21" s="125" t="s">
        <v>159</v>
      </c>
      <c r="L21" s="125"/>
      <c r="M21" s="125"/>
      <c r="N21" s="125"/>
    </row>
    <row r="22" s="102" customFormat="1" ht="24" customHeight="1" spans="1:14">
      <c r="A22" s="125"/>
      <c r="B22" s="125"/>
      <c r="C22" s="125"/>
      <c r="D22" s="126"/>
      <c r="E22" s="127"/>
      <c r="F22" s="128">
        <f>IF(E22&gt;=500,500*10/1000,E22*10/1000)</f>
        <v>0</v>
      </c>
      <c r="G22" s="128">
        <f>IF(E22&lt;=500,0,IF(E22&gt;=5000,4500*6/1000,(E22-500)*6/1000))</f>
        <v>0</v>
      </c>
      <c r="H22" s="128">
        <f>IF(E22&lt;=5000,0,IF(E22&gt;=10000,5000*6/1000,(E22-5000)*6/1000))</f>
        <v>0</v>
      </c>
      <c r="I22" s="128">
        <f>IF(E22&lt;=10000,0,IF(E22&gt;=50000,40000*5/1000,(E22-10000)*5/1000))</f>
        <v>0</v>
      </c>
      <c r="J22" s="128"/>
      <c r="K22" s="128">
        <f>IF(E22&lt;50000,0,(E22-50000)*4/1000)</f>
        <v>0</v>
      </c>
      <c r="L22" s="128">
        <f t="shared" si="2"/>
        <v>0</v>
      </c>
      <c r="M22" s="128"/>
      <c r="N22" s="125"/>
    </row>
    <row r="23" s="102" customFormat="1" ht="15" customHeight="1" spans="1:14">
      <c r="A23" s="125">
        <v>8</v>
      </c>
      <c r="B23" s="125" t="s">
        <v>187</v>
      </c>
      <c r="C23" s="125"/>
      <c r="D23" s="126"/>
      <c r="E23" s="125" t="s">
        <v>188</v>
      </c>
      <c r="F23" s="125" t="s">
        <v>141</v>
      </c>
      <c r="G23" s="125" t="s">
        <v>142</v>
      </c>
      <c r="H23" s="125" t="s">
        <v>161</v>
      </c>
      <c r="I23" s="125" t="s">
        <v>132</v>
      </c>
      <c r="J23" s="125" t="s">
        <v>144</v>
      </c>
      <c r="K23" s="125" t="s">
        <v>189</v>
      </c>
      <c r="L23" s="125"/>
      <c r="M23" s="125"/>
      <c r="N23" s="125"/>
    </row>
    <row r="24" s="102" customFormat="1" ht="15" customHeight="1" spans="1:14">
      <c r="A24" s="125"/>
      <c r="B24" s="125"/>
      <c r="C24" s="125"/>
      <c r="D24" s="126"/>
      <c r="E24" s="127">
        <f>+Q22</f>
        <v>0</v>
      </c>
      <c r="F24" s="128">
        <f>IF(E24&gt;=500,500*2/1000,E24*2/1000)</f>
        <v>0</v>
      </c>
      <c r="G24" s="128">
        <f>IF(E24&lt;=500,0,IF(E24&gt;=5000,4500*1.8/1000,(E24-500)*1.8/1000))</f>
        <v>0</v>
      </c>
      <c r="H24" s="128">
        <f>IF(E24&lt;=5000,0,IF(E24&gt;=10000,5000*1.5/1000,(E24-5000)*1.5/1000))</f>
        <v>0</v>
      </c>
      <c r="I24" s="128">
        <f>IF(E24&lt;=10000,0,IF(E24&gt;=50000,40000*1.3/1000,(E24-10000)*1.3/1000))</f>
        <v>0</v>
      </c>
      <c r="J24" s="128"/>
      <c r="K24" s="128">
        <f>IF(E24&lt;50000,0,(E24-50000)*1.2/1000)</f>
        <v>0</v>
      </c>
      <c r="L24" s="139">
        <f t="shared" si="2"/>
        <v>0</v>
      </c>
      <c r="M24" s="128"/>
      <c r="N24" s="125"/>
    </row>
    <row r="25" s="102" customFormat="1" ht="24" customHeight="1" spans="1:14">
      <c r="A25" s="125">
        <v>9</v>
      </c>
      <c r="B25" s="125" t="s">
        <v>190</v>
      </c>
      <c r="C25" s="125"/>
      <c r="D25" s="126"/>
      <c r="E25" s="125" t="s">
        <v>191</v>
      </c>
      <c r="F25" s="125" t="s">
        <v>141</v>
      </c>
      <c r="G25" s="125" t="s">
        <v>142</v>
      </c>
      <c r="H25" s="125" t="s">
        <v>161</v>
      </c>
      <c r="I25" s="125" t="s">
        <v>132</v>
      </c>
      <c r="J25" s="125" t="s">
        <v>144</v>
      </c>
      <c r="K25" s="125" t="s">
        <v>189</v>
      </c>
      <c r="L25" s="125"/>
      <c r="M25" s="125"/>
      <c r="N25" s="125"/>
    </row>
    <row r="26" s="102" customFormat="1" ht="15" customHeight="1" spans="1:14">
      <c r="A26" s="125"/>
      <c r="B26" s="125"/>
      <c r="C26" s="125"/>
      <c r="D26" s="126"/>
      <c r="E26" s="127"/>
      <c r="F26" s="128">
        <f>IF(E26&gt;=500,500*2/1000,E26*2/1000)</f>
        <v>0</v>
      </c>
      <c r="G26" s="128">
        <f>IF(E26&lt;=500,0,IF(E26&gt;=5000,4500*1.8/1000,(E26-500)*1.8/1000))</f>
        <v>0</v>
      </c>
      <c r="H26" s="128">
        <f>IF(E26&lt;=5000,0,IF(E26&gt;=10000,5000*1.5/1000,(E26-5000)*1.5/1000))</f>
        <v>0</v>
      </c>
      <c r="I26" s="128">
        <f>IF(E26&lt;=10000,0,IF(E26&gt;=50000,40000*1.3/1000,(E26-10000)*1.3/1000))</f>
        <v>0</v>
      </c>
      <c r="J26" s="128"/>
      <c r="K26" s="128">
        <f>IF(E26&lt;50000,0,(E26-50000)*1.2/1000)</f>
        <v>0</v>
      </c>
      <c r="L26" s="128">
        <f>SUM(F26:K26)</f>
        <v>0</v>
      </c>
      <c r="M26" s="128"/>
      <c r="N26" s="125"/>
    </row>
    <row r="27" s="102" customFormat="1" ht="24" customHeight="1" spans="1:14">
      <c r="A27" s="126" t="s">
        <v>192</v>
      </c>
      <c r="B27" s="126"/>
      <c r="C27" s="126"/>
      <c r="D27" s="126"/>
      <c r="E27" s="126"/>
      <c r="F27" s="126"/>
      <c r="G27" s="126"/>
      <c r="H27" s="126"/>
      <c r="I27" s="126"/>
      <c r="J27" s="126"/>
      <c r="K27" s="126"/>
      <c r="L27" s="125"/>
      <c r="M27" s="126"/>
      <c r="N27" s="126"/>
    </row>
    <row r="28" s="102" customFormat="1" ht="24" customHeight="1" spans="1:14">
      <c r="A28" s="126" t="s">
        <v>193</v>
      </c>
      <c r="B28" s="126"/>
      <c r="C28" s="126"/>
      <c r="D28" s="126"/>
      <c r="E28" s="126"/>
      <c r="F28" s="126"/>
      <c r="G28" s="126"/>
      <c r="H28" s="126"/>
      <c r="I28" s="126"/>
      <c r="J28" s="126"/>
      <c r="K28" s="126"/>
      <c r="L28" s="125"/>
      <c r="M28" s="126"/>
      <c r="N28" s="126"/>
    </row>
    <row r="29" s="102" customFormat="1" ht="24" customHeight="1" spans="1:14">
      <c r="A29" s="126" t="s">
        <v>194</v>
      </c>
      <c r="B29" s="126"/>
      <c r="C29" s="126"/>
      <c r="D29" s="126"/>
      <c r="E29" s="126"/>
      <c r="F29" s="126"/>
      <c r="G29" s="126"/>
      <c r="H29" s="126"/>
      <c r="I29" s="126"/>
      <c r="J29" s="126"/>
      <c r="K29" s="126"/>
      <c r="L29" s="125"/>
      <c r="M29" s="126"/>
      <c r="N29" s="126"/>
    </row>
    <row r="30" s="102" customFormat="1" ht="24" customHeight="1" spans="1:14">
      <c r="A30" s="126" t="s">
        <v>195</v>
      </c>
      <c r="B30" s="126"/>
      <c r="C30" s="126"/>
      <c r="D30" s="126"/>
      <c r="E30" s="126"/>
      <c r="F30" s="126"/>
      <c r="G30" s="126"/>
      <c r="H30" s="126"/>
      <c r="I30" s="126"/>
      <c r="J30" s="126"/>
      <c r="K30" s="126"/>
      <c r="L30" s="125"/>
      <c r="M30" s="126"/>
      <c r="N30" s="126"/>
    </row>
    <row r="31" s="102" customFormat="1" ht="24" customHeight="1" spans="1:14">
      <c r="A31" s="126" t="s">
        <v>196</v>
      </c>
      <c r="B31" s="126"/>
      <c r="C31" s="126"/>
      <c r="D31" s="126"/>
      <c r="E31" s="126"/>
      <c r="F31" s="126"/>
      <c r="G31" s="126"/>
      <c r="H31" s="126"/>
      <c r="I31" s="126"/>
      <c r="J31" s="126"/>
      <c r="K31" s="126"/>
      <c r="L31" s="125"/>
      <c r="M31" s="126"/>
      <c r="N31" s="126"/>
    </row>
    <row r="32" s="102" customFormat="1" ht="24" customHeight="1" spans="1:14">
      <c r="A32" s="126" t="s">
        <v>197</v>
      </c>
      <c r="B32" s="126"/>
      <c r="C32" s="126"/>
      <c r="D32" s="126"/>
      <c r="E32" s="126"/>
      <c r="F32" s="126"/>
      <c r="G32" s="126"/>
      <c r="H32" s="126"/>
      <c r="I32" s="126"/>
      <c r="J32" s="126"/>
      <c r="K32" s="126"/>
      <c r="L32" s="125"/>
      <c r="M32" s="126"/>
      <c r="N32" s="126"/>
    </row>
    <row r="33" s="102" customFormat="1" ht="24" customHeight="1" spans="1:14">
      <c r="A33" s="126" t="s">
        <v>198</v>
      </c>
      <c r="B33" s="126"/>
      <c r="C33" s="126"/>
      <c r="D33" s="126"/>
      <c r="E33" s="126"/>
      <c r="F33" s="126"/>
      <c r="G33" s="126"/>
      <c r="H33" s="126"/>
      <c r="I33" s="126"/>
      <c r="J33" s="126"/>
      <c r="K33" s="126"/>
      <c r="L33" s="125"/>
      <c r="M33" s="126"/>
      <c r="N33" s="126"/>
    </row>
    <row r="34" s="102" customFormat="1" ht="24" customHeight="1" spans="1:14">
      <c r="A34" s="126" t="s">
        <v>199</v>
      </c>
      <c r="B34" s="126"/>
      <c r="C34" s="126"/>
      <c r="D34" s="126"/>
      <c r="E34" s="126"/>
      <c r="F34" s="126"/>
      <c r="G34" s="126"/>
      <c r="H34" s="126"/>
      <c r="I34" s="126"/>
      <c r="J34" s="126"/>
      <c r="K34" s="126"/>
      <c r="L34" s="125"/>
      <c r="M34" s="126"/>
      <c r="N34" s="126"/>
    </row>
    <row r="35" s="102" customFormat="1" ht="24" customHeight="1" spans="1:14">
      <c r="A35" s="126" t="s">
        <v>200</v>
      </c>
      <c r="B35" s="126"/>
      <c r="C35" s="126"/>
      <c r="D35" s="126"/>
      <c r="E35" s="126"/>
      <c r="F35" s="126"/>
      <c r="G35" s="126"/>
      <c r="H35" s="126"/>
      <c r="I35" s="126"/>
      <c r="J35" s="126"/>
      <c r="K35" s="126"/>
      <c r="L35" s="125"/>
      <c r="M35" s="126"/>
      <c r="N35" s="126"/>
    </row>
    <row r="36" s="102" customFormat="1" ht="24" customHeight="1" spans="1:14">
      <c r="A36" s="126" t="s">
        <v>201</v>
      </c>
      <c r="B36" s="126"/>
      <c r="C36" s="126"/>
      <c r="D36" s="126"/>
      <c r="E36" s="126"/>
      <c r="F36" s="126"/>
      <c r="G36" s="126"/>
      <c r="H36" s="126"/>
      <c r="I36" s="126"/>
      <c r="J36" s="126"/>
      <c r="K36" s="126"/>
      <c r="L36" s="125"/>
      <c r="M36" s="126"/>
      <c r="N36" s="126"/>
    </row>
    <row r="37" s="102" customFormat="1" ht="24" customHeight="1" spans="1:14">
      <c r="A37" s="126" t="s">
        <v>202</v>
      </c>
      <c r="B37" s="126"/>
      <c r="C37" s="126"/>
      <c r="D37" s="126"/>
      <c r="E37" s="126"/>
      <c r="F37" s="126"/>
      <c r="G37" s="126"/>
      <c r="H37" s="126"/>
      <c r="I37" s="126"/>
      <c r="J37" s="126"/>
      <c r="K37" s="126"/>
      <c r="L37" s="125"/>
      <c r="M37" s="126"/>
      <c r="N37" s="126"/>
    </row>
    <row r="38" s="102" customFormat="1" ht="24" customHeight="1" spans="1:14">
      <c r="A38" s="126" t="s">
        <v>203</v>
      </c>
      <c r="B38" s="126"/>
      <c r="C38" s="126"/>
      <c r="D38" s="126"/>
      <c r="E38" s="126"/>
      <c r="F38" s="126"/>
      <c r="G38" s="126"/>
      <c r="H38" s="126"/>
      <c r="I38" s="126"/>
      <c r="J38" s="126"/>
      <c r="K38" s="126"/>
      <c r="L38" s="125"/>
      <c r="M38" s="126"/>
      <c r="N38" s="126"/>
    </row>
    <row r="39" s="102" customFormat="1" ht="24" customHeight="1" spans="1:14">
      <c r="A39" s="126" t="s">
        <v>204</v>
      </c>
      <c r="B39" s="126"/>
      <c r="C39" s="126"/>
      <c r="D39" s="126"/>
      <c r="E39" s="126"/>
      <c r="F39" s="126"/>
      <c r="G39" s="126"/>
      <c r="H39" s="126"/>
      <c r="I39" s="126"/>
      <c r="J39" s="126"/>
      <c r="K39" s="126"/>
      <c r="L39" s="125"/>
      <c r="M39" s="126"/>
      <c r="N39" s="126"/>
    </row>
    <row r="40" s="101" customFormat="1" ht="39.75" customHeight="1" spans="1:15">
      <c r="A40" s="129"/>
      <c r="B40" s="130"/>
      <c r="C40" s="130"/>
      <c r="D40" s="131"/>
      <c r="E40" s="130"/>
      <c r="F40" s="130"/>
      <c r="G40" s="130"/>
      <c r="H40" s="130"/>
      <c r="I40" s="130"/>
      <c r="J40" s="130"/>
      <c r="K40" s="108"/>
      <c r="L40" s="110"/>
      <c r="M40" s="110"/>
      <c r="N40" s="107"/>
      <c r="O40" s="102"/>
    </row>
    <row r="41" s="101" customFormat="1" spans="2:15">
      <c r="B41" s="103"/>
      <c r="C41" s="103"/>
      <c r="D41" s="104"/>
      <c r="E41" s="103"/>
      <c r="F41" s="103"/>
      <c r="G41" s="103"/>
      <c r="H41" s="103"/>
      <c r="I41" s="103"/>
      <c r="J41" s="103"/>
      <c r="K41" s="140"/>
      <c r="L41" s="141"/>
      <c r="M41" s="141"/>
      <c r="O41" s="102"/>
    </row>
    <row r="42" s="101" customFormat="1" spans="2:15">
      <c r="B42" s="103"/>
      <c r="C42" s="103"/>
      <c r="D42" s="104"/>
      <c r="E42" s="103"/>
      <c r="F42" s="103">
        <f>100*12/1000</f>
        <v>1.2</v>
      </c>
      <c r="G42" s="103">
        <f>400*11/1000</f>
        <v>4.4</v>
      </c>
      <c r="H42" s="103">
        <f>500*10/1000</f>
        <v>5</v>
      </c>
      <c r="I42" s="103">
        <f>4000*9/1000</f>
        <v>36</v>
      </c>
      <c r="J42" s="103">
        <f>(5432.88-5000)*8/1000</f>
        <v>3.46304</v>
      </c>
      <c r="K42" s="140"/>
      <c r="L42" s="140"/>
      <c r="M42" s="103"/>
      <c r="O42" s="102"/>
    </row>
    <row r="43" s="101" customFormat="1" spans="2:15">
      <c r="B43" s="103"/>
      <c r="C43" s="103"/>
      <c r="D43" s="104"/>
      <c r="E43" s="103"/>
      <c r="F43" s="103"/>
      <c r="G43" s="103"/>
      <c r="H43" s="103"/>
      <c r="I43" s="140"/>
      <c r="J43" s="140"/>
      <c r="K43" s="140"/>
      <c r="L43" s="140"/>
      <c r="M43" s="140"/>
      <c r="O43" s="102"/>
    </row>
    <row r="44" s="101" customFormat="1" spans="2:15">
      <c r="B44" s="103"/>
      <c r="C44" s="103"/>
      <c r="D44" s="104"/>
      <c r="E44" s="103"/>
      <c r="F44" s="103"/>
      <c r="G44" s="103"/>
      <c r="H44" s="103"/>
      <c r="I44" s="103"/>
      <c r="J44" s="103"/>
      <c r="K44" s="140"/>
      <c r="L44" s="140"/>
      <c r="M44" s="103"/>
      <c r="O44" s="102"/>
    </row>
    <row r="45" s="101" customFormat="1" spans="2:15">
      <c r="B45" s="103"/>
      <c r="C45" s="103"/>
      <c r="D45" s="104"/>
      <c r="E45" s="103"/>
      <c r="F45" s="103"/>
      <c r="G45" s="103"/>
      <c r="H45" s="103"/>
      <c r="I45" s="103"/>
      <c r="J45" s="103"/>
      <c r="K45" s="103"/>
      <c r="L45" s="103"/>
      <c r="M45" s="103"/>
      <c r="O45" s="102"/>
    </row>
    <row r="46" s="101" customFormat="1" spans="2:15">
      <c r="B46" s="103"/>
      <c r="C46" s="103"/>
      <c r="D46" s="104"/>
      <c r="E46" s="103"/>
      <c r="F46" s="103"/>
      <c r="G46" s="103"/>
      <c r="H46" s="103"/>
      <c r="I46" s="103"/>
      <c r="J46" s="103">
        <f>8.51/50.06</f>
        <v>0.169996004794247</v>
      </c>
      <c r="K46" s="103"/>
      <c r="L46" s="103"/>
      <c r="M46" s="103"/>
      <c r="O46" s="102"/>
    </row>
    <row r="47" s="101" customFormat="1" spans="2:15">
      <c r="B47" s="103"/>
      <c r="C47" s="103"/>
      <c r="D47" s="104"/>
      <c r="E47" s="103"/>
      <c r="F47" s="103"/>
      <c r="G47" s="103"/>
      <c r="H47" s="103"/>
      <c r="I47" s="103"/>
      <c r="J47" s="103"/>
      <c r="K47" s="103"/>
      <c r="L47" s="103"/>
      <c r="M47" s="103"/>
      <c r="O47" s="102"/>
    </row>
    <row r="48" s="101" customFormat="1" spans="2:15">
      <c r="B48" s="103"/>
      <c r="C48" s="103"/>
      <c r="D48" s="104"/>
      <c r="E48" s="103"/>
      <c r="F48" s="103"/>
      <c r="G48" s="103"/>
      <c r="H48" s="103"/>
      <c r="I48" s="103"/>
      <c r="J48" s="103"/>
      <c r="K48" s="103"/>
      <c r="L48" s="103"/>
      <c r="M48" s="103"/>
      <c r="O48" s="102"/>
    </row>
    <row r="49" s="101" customFormat="1" spans="2:15">
      <c r="B49" s="103"/>
      <c r="C49" s="103"/>
      <c r="D49" s="104"/>
      <c r="E49" s="103"/>
      <c r="F49" s="103"/>
      <c r="G49" s="103"/>
      <c r="H49" s="103"/>
      <c r="I49" s="103"/>
      <c r="J49" s="103"/>
      <c r="K49" s="103"/>
      <c r="L49" s="103"/>
      <c r="M49" s="103"/>
      <c r="O49" s="102"/>
    </row>
    <row r="50" s="101" customFormat="1" spans="2:15">
      <c r="B50" s="103"/>
      <c r="C50" s="103"/>
      <c r="D50" s="104"/>
      <c r="E50" s="103"/>
      <c r="F50" s="103"/>
      <c r="G50" s="103"/>
      <c r="H50" s="103"/>
      <c r="I50" s="103"/>
      <c r="J50" s="103"/>
      <c r="K50" s="103"/>
      <c r="L50" s="103"/>
      <c r="M50" s="103"/>
      <c r="O50" s="102"/>
    </row>
    <row r="51" s="101" customFormat="1" spans="2:15">
      <c r="B51" s="103"/>
      <c r="C51" s="103"/>
      <c r="D51" s="104"/>
      <c r="E51" s="103"/>
      <c r="F51" s="103">
        <f>7*0.34</f>
        <v>2.38</v>
      </c>
      <c r="G51" s="103"/>
      <c r="H51" s="103">
        <f>21.5*0.17</f>
        <v>3.655</v>
      </c>
      <c r="I51" s="103"/>
      <c r="J51" s="103"/>
      <c r="K51" s="103"/>
      <c r="L51" s="103"/>
      <c r="M51" s="103"/>
      <c r="O51" s="102"/>
    </row>
    <row r="52" s="101" customFormat="1" spans="2:15">
      <c r="B52" s="103"/>
      <c r="C52" s="103"/>
      <c r="D52" s="104"/>
      <c r="E52" s="103"/>
      <c r="F52" s="103"/>
      <c r="G52" s="103"/>
      <c r="H52" s="103"/>
      <c r="I52" s="103"/>
      <c r="J52" s="103"/>
      <c r="K52" s="103"/>
      <c r="L52" s="103"/>
      <c r="M52" s="103"/>
      <c r="O52" s="102"/>
    </row>
    <row r="53" s="101" customFormat="1" spans="2:13">
      <c r="B53" s="103"/>
      <c r="C53" s="103"/>
      <c r="D53" s="104"/>
      <c r="E53" s="103"/>
      <c r="F53" s="103"/>
      <c r="G53" s="103"/>
      <c r="H53" s="103"/>
      <c r="I53" s="103"/>
      <c r="J53" s="103"/>
      <c r="K53" s="103"/>
      <c r="L53" s="103"/>
      <c r="M53" s="103"/>
    </row>
  </sheetData>
  <mergeCells count="59">
    <mergeCell ref="A1:L1"/>
    <mergeCell ref="B2:C2"/>
    <mergeCell ref="F17:K17"/>
    <mergeCell ref="F18:K18"/>
    <mergeCell ref="A27:N27"/>
    <mergeCell ref="A28:N28"/>
    <mergeCell ref="A29:N29"/>
    <mergeCell ref="A30:N30"/>
    <mergeCell ref="A31:N31"/>
    <mergeCell ref="A32:N32"/>
    <mergeCell ref="A33:N33"/>
    <mergeCell ref="A34:N34"/>
    <mergeCell ref="A35:N35"/>
    <mergeCell ref="A36:N36"/>
    <mergeCell ref="A37:N37"/>
    <mergeCell ref="A38:N38"/>
    <mergeCell ref="A39:N39"/>
    <mergeCell ref="A3:A4"/>
    <mergeCell ref="A5:A6"/>
    <mergeCell ref="A7:A12"/>
    <mergeCell ref="A13:A14"/>
    <mergeCell ref="A15:A18"/>
    <mergeCell ref="A19:A20"/>
    <mergeCell ref="A21:A22"/>
    <mergeCell ref="A23:A24"/>
    <mergeCell ref="A25:A26"/>
    <mergeCell ref="B7:B12"/>
    <mergeCell ref="B13:B14"/>
    <mergeCell ref="B15:B18"/>
    <mergeCell ref="C7:C10"/>
    <mergeCell ref="C11:C12"/>
    <mergeCell ref="C13:C14"/>
    <mergeCell ref="C15:C16"/>
    <mergeCell ref="C17:C18"/>
    <mergeCell ref="D3:D4"/>
    <mergeCell ref="D5:D6"/>
    <mergeCell ref="D7:D8"/>
    <mergeCell ref="D9:D10"/>
    <mergeCell ref="D11:D12"/>
    <mergeCell ref="D15:D18"/>
    <mergeCell ref="D19:D20"/>
    <mergeCell ref="M16:M18"/>
    <mergeCell ref="N3:N4"/>
    <mergeCell ref="N5:N6"/>
    <mergeCell ref="N7:N8"/>
    <mergeCell ref="N9:N10"/>
    <mergeCell ref="N11:N12"/>
    <mergeCell ref="N13:N14"/>
    <mergeCell ref="N15:N18"/>
    <mergeCell ref="N19:N20"/>
    <mergeCell ref="N21:N22"/>
    <mergeCell ref="N23:N24"/>
    <mergeCell ref="N25:N26"/>
    <mergeCell ref="B3:C4"/>
    <mergeCell ref="B5:C6"/>
    <mergeCell ref="B19:C20"/>
    <mergeCell ref="B21:C22"/>
    <mergeCell ref="B23:C24"/>
    <mergeCell ref="B25:C26"/>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2"/>
  <sheetViews>
    <sheetView topLeftCell="A122" workbookViewId="0">
      <selection activeCell="F131" sqref="F131"/>
    </sheetView>
  </sheetViews>
  <sheetFormatPr defaultColWidth="9" defaultRowHeight="14.25"/>
  <cols>
    <col min="1" max="1" width="6" style="1" customWidth="1"/>
    <col min="2" max="2" width="21.5" style="7" customWidth="1"/>
    <col min="3" max="3" width="5.38333333333333" style="8" customWidth="1"/>
    <col min="4" max="4" width="13.1083333333333" style="8" customWidth="1"/>
    <col min="5" max="7" width="18.8333333333333" style="9" customWidth="1"/>
    <col min="8" max="8" width="16.3833333333333" style="9" customWidth="1"/>
    <col min="9" max="9" width="16.3833333333333" style="10" customWidth="1"/>
    <col min="10" max="10" width="16.3833333333333" style="11" customWidth="1"/>
    <col min="11" max="11" width="27.4333333333333" style="12" customWidth="1"/>
    <col min="12" max="12" width="10.575" style="12" customWidth="1"/>
    <col min="13" max="13" width="15.3833333333333" style="1" customWidth="1"/>
    <col min="14" max="14" width="13.8833333333333" style="13" customWidth="1"/>
    <col min="15" max="15" width="12.6333333333333" style="1"/>
    <col min="16" max="16" width="14.8833333333333" style="1" customWidth="1"/>
    <col min="17" max="17" width="9.38333333333333" style="1" customWidth="1"/>
    <col min="18" max="18" width="12.6333333333333" style="1"/>
    <col min="19" max="16384" width="9" style="1"/>
  </cols>
  <sheetData>
    <row r="1" s="1" customFormat="1" ht="28.5" customHeight="1" spans="1:14">
      <c r="A1" s="14" t="s">
        <v>205</v>
      </c>
      <c r="B1" s="14"/>
      <c r="C1" s="14"/>
      <c r="D1" s="14"/>
      <c r="E1" s="15"/>
      <c r="F1" s="15"/>
      <c r="G1" s="15"/>
      <c r="H1" s="15"/>
      <c r="I1" s="14"/>
      <c r="J1" s="41"/>
      <c r="K1" s="14"/>
      <c r="L1" s="14"/>
      <c r="N1" s="13"/>
    </row>
    <row r="2" s="1" customFormat="1" ht="9" customHeight="1" spans="1:14">
      <c r="A2" s="16"/>
      <c r="B2" s="16"/>
      <c r="C2" s="16"/>
      <c r="D2" s="16"/>
      <c r="E2" s="17"/>
      <c r="F2" s="17"/>
      <c r="G2" s="17"/>
      <c r="H2" s="17"/>
      <c r="I2" s="16"/>
      <c r="J2" s="42"/>
      <c r="K2" s="16"/>
      <c r="L2" s="16"/>
      <c r="N2" s="13"/>
    </row>
    <row r="3" s="2" customFormat="1" ht="12.95" customHeight="1" spans="1:18">
      <c r="A3" s="18" t="s">
        <v>3</v>
      </c>
      <c r="B3" s="19" t="s">
        <v>206</v>
      </c>
      <c r="C3" s="19" t="s">
        <v>207</v>
      </c>
      <c r="D3" s="19" t="s">
        <v>208</v>
      </c>
      <c r="E3" s="20" t="s">
        <v>209</v>
      </c>
      <c r="F3" s="20"/>
      <c r="G3" s="20"/>
      <c r="H3" s="20" t="s">
        <v>210</v>
      </c>
      <c r="I3" s="19" t="s">
        <v>211</v>
      </c>
      <c r="J3" s="43" t="s">
        <v>212</v>
      </c>
      <c r="K3" s="44" t="s">
        <v>47</v>
      </c>
      <c r="L3" s="45" t="s">
        <v>213</v>
      </c>
      <c r="M3" s="45"/>
      <c r="N3" s="45"/>
      <c r="O3" s="46"/>
      <c r="R3" s="1"/>
    </row>
    <row r="4" s="3" customFormat="1" ht="15" customHeight="1" spans="1:15">
      <c r="A4" s="21"/>
      <c r="B4" s="22"/>
      <c r="C4" s="23"/>
      <c r="D4" s="23"/>
      <c r="E4" s="24"/>
      <c r="F4" s="24"/>
      <c r="G4" s="24"/>
      <c r="H4" s="24"/>
      <c r="I4" s="22"/>
      <c r="J4" s="47"/>
      <c r="K4" s="48"/>
      <c r="L4" s="49" t="s">
        <v>214</v>
      </c>
      <c r="M4" s="45" t="s">
        <v>188</v>
      </c>
      <c r="N4" s="50" t="s">
        <v>215</v>
      </c>
      <c r="O4" s="45" t="s">
        <v>47</v>
      </c>
    </row>
    <row r="5" s="2" customFormat="1" ht="30" customHeight="1" spans="1:15">
      <c r="A5" s="25" t="s">
        <v>11</v>
      </c>
      <c r="B5" s="26" t="s">
        <v>216</v>
      </c>
      <c r="C5" s="27" t="s">
        <v>217</v>
      </c>
      <c r="D5" s="28">
        <v>204431.95</v>
      </c>
      <c r="E5" s="29">
        <f>E6+E7+E15+E23+E31+E39+E50+E58+E66+E74+E83+E91+E95+E107+E115+E126</f>
        <v>209594293.27</v>
      </c>
      <c r="F5" s="29"/>
      <c r="G5" s="29"/>
      <c r="H5" s="30">
        <f t="shared" ref="H5:H68" si="0">E5/10000</f>
        <v>20959.43</v>
      </c>
      <c r="I5" s="51">
        <f t="shared" ref="I5:I68" si="1">E5/D5</f>
        <v>1025.25</v>
      </c>
      <c r="J5" s="52" t="e">
        <f t="shared" ref="J5:J68" si="2">E5/$E$174</f>
        <v>#REF!</v>
      </c>
      <c r="K5" s="53" t="s">
        <v>218</v>
      </c>
      <c r="L5" s="54"/>
      <c r="M5" s="29"/>
      <c r="N5" s="55"/>
      <c r="O5" s="56"/>
    </row>
    <row r="6" s="2" customFormat="1" ht="30" customHeight="1" spans="1:15">
      <c r="A6" s="31" t="s">
        <v>219</v>
      </c>
      <c r="B6" s="32" t="s">
        <v>220</v>
      </c>
      <c r="C6" s="33" t="s">
        <v>221</v>
      </c>
      <c r="D6" s="34">
        <f>+D5</f>
        <v>204431.95</v>
      </c>
      <c r="E6" s="35">
        <v>41193566.63</v>
      </c>
      <c r="F6" s="35">
        <v>36170868.58</v>
      </c>
      <c r="G6" s="35"/>
      <c r="H6" s="35">
        <f t="shared" si="0"/>
        <v>4119.36</v>
      </c>
      <c r="I6" s="40">
        <f t="shared" si="1"/>
        <v>201.5</v>
      </c>
      <c r="J6" s="57" t="e">
        <f t="shared" si="2"/>
        <v>#REF!</v>
      </c>
      <c r="K6" s="58" t="s">
        <v>222</v>
      </c>
      <c r="L6" s="59">
        <v>194011.42</v>
      </c>
      <c r="M6" s="40">
        <f>4378.02+1020.67+557.29</f>
        <v>5955.98</v>
      </c>
      <c r="N6" s="35">
        <f t="shared" ref="N6:N9" si="3">+M6/L6*10000</f>
        <v>306.99</v>
      </c>
      <c r="O6" s="56"/>
    </row>
    <row r="7" s="2" customFormat="1" ht="30" customHeight="1" spans="1:15">
      <c r="A7" s="31" t="s">
        <v>223</v>
      </c>
      <c r="B7" s="32" t="s">
        <v>224</v>
      </c>
      <c r="C7" s="33" t="s">
        <v>221</v>
      </c>
      <c r="D7" s="34">
        <v>4994.28</v>
      </c>
      <c r="E7" s="35">
        <f>SUM(E8:E10)</f>
        <v>19210234.55</v>
      </c>
      <c r="F7" s="35"/>
      <c r="G7" s="35"/>
      <c r="H7" s="35">
        <f t="shared" si="0"/>
        <v>1921.02</v>
      </c>
      <c r="I7" s="40">
        <f t="shared" si="1"/>
        <v>3846.45</v>
      </c>
      <c r="J7" s="57" t="e">
        <f t="shared" si="2"/>
        <v>#REF!</v>
      </c>
      <c r="K7" s="58"/>
      <c r="L7" s="59">
        <v>4724.54</v>
      </c>
      <c r="M7" s="40">
        <f>SUM(M8:M14)</f>
        <v>1909.73</v>
      </c>
      <c r="N7" s="35">
        <f t="shared" si="3"/>
        <v>4042.15</v>
      </c>
      <c r="O7" s="56"/>
    </row>
    <row r="8" s="2" customFormat="1" ht="30" customHeight="1" outlineLevel="1" spans="1:15">
      <c r="A8" s="31">
        <v>1</v>
      </c>
      <c r="B8" s="36" t="s">
        <v>225</v>
      </c>
      <c r="C8" s="37" t="s">
        <v>221</v>
      </c>
      <c r="D8" s="38">
        <f t="shared" ref="D8:D14" si="4">$D$7</f>
        <v>4994.28</v>
      </c>
      <c r="E8" s="35">
        <v>969340.7</v>
      </c>
      <c r="F8" s="35">
        <v>1031435.15</v>
      </c>
      <c r="G8" s="35"/>
      <c r="H8" s="35">
        <f t="shared" si="0"/>
        <v>96.93</v>
      </c>
      <c r="I8" s="40">
        <f t="shared" si="1"/>
        <v>194.09</v>
      </c>
      <c r="J8" s="57" t="e">
        <f t="shared" si="2"/>
        <v>#REF!</v>
      </c>
      <c r="K8" s="58" t="s">
        <v>226</v>
      </c>
      <c r="L8" s="59"/>
      <c r="M8" s="40"/>
      <c r="N8" s="35"/>
      <c r="O8" s="56"/>
    </row>
    <row r="9" s="2" customFormat="1" ht="30" customHeight="1" outlineLevel="1" spans="1:15">
      <c r="A9" s="31">
        <v>2</v>
      </c>
      <c r="B9" s="36" t="s">
        <v>227</v>
      </c>
      <c r="C9" s="37" t="s">
        <v>221</v>
      </c>
      <c r="D9" s="38">
        <f t="shared" si="4"/>
        <v>4994.28</v>
      </c>
      <c r="E9" s="35">
        <v>13472523.99</v>
      </c>
      <c r="F9" s="35">
        <v>13893405.11</v>
      </c>
      <c r="G9" s="35"/>
      <c r="H9" s="35">
        <f t="shared" si="0"/>
        <v>1347.25</v>
      </c>
      <c r="I9" s="40">
        <f t="shared" si="1"/>
        <v>2697.59</v>
      </c>
      <c r="J9" s="57" t="e">
        <f t="shared" si="2"/>
        <v>#REF!</v>
      </c>
      <c r="K9" s="58" t="s">
        <v>228</v>
      </c>
      <c r="L9" s="59">
        <f>+L7</f>
        <v>4724.54</v>
      </c>
      <c r="M9" s="40">
        <f>877.33+419.23+178.28+240.95</f>
        <v>1715.79</v>
      </c>
      <c r="N9" s="35">
        <f t="shared" si="3"/>
        <v>3631.66</v>
      </c>
      <c r="O9" s="56"/>
    </row>
    <row r="10" s="2" customFormat="1" ht="30" customHeight="1" outlineLevel="1" spans="1:16">
      <c r="A10" s="31">
        <v>3</v>
      </c>
      <c r="B10" s="36" t="s">
        <v>229</v>
      </c>
      <c r="C10" s="37" t="s">
        <v>221</v>
      </c>
      <c r="D10" s="38">
        <f t="shared" si="4"/>
        <v>4994.28</v>
      </c>
      <c r="E10" s="35">
        <f>SUM(E11:E14)</f>
        <v>4768369.86</v>
      </c>
      <c r="F10" s="35"/>
      <c r="G10" s="35"/>
      <c r="H10" s="35">
        <f t="shared" si="0"/>
        <v>476.84</v>
      </c>
      <c r="I10" s="60">
        <f t="shared" si="1"/>
        <v>954.77</v>
      </c>
      <c r="J10" s="57" t="e">
        <f t="shared" si="2"/>
        <v>#REF!</v>
      </c>
      <c r="K10" s="58"/>
      <c r="L10" s="59"/>
      <c r="M10" s="56"/>
      <c r="N10" s="55"/>
      <c r="O10" s="56"/>
      <c r="P10" s="2" t="e">
        <f>+E7+#REF!+#REF!</f>
        <v>#REF!</v>
      </c>
    </row>
    <row r="11" s="2" customFormat="1" ht="30" customHeight="1" outlineLevel="1" spans="1:15">
      <c r="A11" s="31">
        <f t="shared" ref="A11:A14" si="5">A10+0.1</f>
        <v>3.1</v>
      </c>
      <c r="B11" s="39" t="s">
        <v>230</v>
      </c>
      <c r="C11" s="37" t="s">
        <v>221</v>
      </c>
      <c r="D11" s="38">
        <f t="shared" si="4"/>
        <v>4994.28</v>
      </c>
      <c r="E11" s="35">
        <v>1824104.81</v>
      </c>
      <c r="F11" s="35">
        <v>2029881.12</v>
      </c>
      <c r="G11" s="35"/>
      <c r="H11" s="35">
        <f t="shared" si="0"/>
        <v>182.41</v>
      </c>
      <c r="I11" s="40">
        <f t="shared" si="1"/>
        <v>365.24</v>
      </c>
      <c r="J11" s="57" t="e">
        <f t="shared" si="2"/>
        <v>#REF!</v>
      </c>
      <c r="K11" s="58"/>
      <c r="L11" s="59">
        <f>+L7</f>
        <v>4724.54</v>
      </c>
      <c r="M11" s="56">
        <v>122.36</v>
      </c>
      <c r="N11" s="35">
        <f t="shared" ref="N11:N15" si="6">+M11/L11*10000</f>
        <v>258.99</v>
      </c>
      <c r="O11" s="56"/>
    </row>
    <row r="12" s="2" customFormat="1" ht="30" customHeight="1" outlineLevel="1" spans="1:15">
      <c r="A12" s="31">
        <f t="shared" si="5"/>
        <v>3.2</v>
      </c>
      <c r="B12" s="39" t="s">
        <v>231</v>
      </c>
      <c r="C12" s="37" t="s">
        <v>221</v>
      </c>
      <c r="D12" s="38">
        <f t="shared" si="4"/>
        <v>4994.28</v>
      </c>
      <c r="E12" s="35">
        <v>1990888.84</v>
      </c>
      <c r="F12" s="35">
        <v>1990968.31</v>
      </c>
      <c r="G12" s="35"/>
      <c r="H12" s="35">
        <f t="shared" si="0"/>
        <v>199.09</v>
      </c>
      <c r="I12" s="40">
        <f t="shared" si="1"/>
        <v>398.63</v>
      </c>
      <c r="J12" s="57" t="e">
        <f t="shared" si="2"/>
        <v>#REF!</v>
      </c>
      <c r="K12" s="58"/>
      <c r="L12" s="59"/>
      <c r="M12" s="56"/>
      <c r="N12" s="55"/>
      <c r="O12" s="56"/>
    </row>
    <row r="13" s="2" customFormat="1" ht="30" customHeight="1" outlineLevel="1" spans="1:15">
      <c r="A13" s="31">
        <f t="shared" si="5"/>
        <v>3.3</v>
      </c>
      <c r="B13" s="39" t="s">
        <v>232</v>
      </c>
      <c r="C13" s="37" t="s">
        <v>221</v>
      </c>
      <c r="D13" s="38">
        <f t="shared" si="4"/>
        <v>4994.28</v>
      </c>
      <c r="E13" s="35">
        <v>818453.8</v>
      </c>
      <c r="F13" s="35">
        <v>673833.11</v>
      </c>
      <c r="G13" s="35"/>
      <c r="H13" s="35">
        <f t="shared" si="0"/>
        <v>81.85</v>
      </c>
      <c r="I13" s="40">
        <f t="shared" si="1"/>
        <v>163.88</v>
      </c>
      <c r="J13" s="57" t="e">
        <f t="shared" si="2"/>
        <v>#REF!</v>
      </c>
      <c r="K13" s="58"/>
      <c r="L13" s="59">
        <f>+L7</f>
        <v>4724.54</v>
      </c>
      <c r="M13" s="56">
        <v>43.87</v>
      </c>
      <c r="N13" s="35">
        <f t="shared" si="6"/>
        <v>92.86</v>
      </c>
      <c r="O13" s="56"/>
    </row>
    <row r="14" s="2" customFormat="1" ht="30" customHeight="1" outlineLevel="1" spans="1:15">
      <c r="A14" s="31">
        <f t="shared" si="5"/>
        <v>3.4</v>
      </c>
      <c r="B14" s="32" t="s">
        <v>233</v>
      </c>
      <c r="C14" s="37" t="s">
        <v>221</v>
      </c>
      <c r="D14" s="38">
        <f t="shared" si="4"/>
        <v>4994.28</v>
      </c>
      <c r="E14" s="35">
        <v>134922.41</v>
      </c>
      <c r="F14" s="35">
        <v>136082</v>
      </c>
      <c r="G14" s="35"/>
      <c r="H14" s="35">
        <f t="shared" si="0"/>
        <v>13.49</v>
      </c>
      <c r="I14" s="40">
        <f t="shared" si="1"/>
        <v>27.02</v>
      </c>
      <c r="J14" s="57" t="e">
        <f t="shared" si="2"/>
        <v>#REF!</v>
      </c>
      <c r="K14" s="58"/>
      <c r="L14" s="59">
        <f>+L7</f>
        <v>4724.54</v>
      </c>
      <c r="M14" s="56">
        <v>27.71</v>
      </c>
      <c r="N14" s="35">
        <f t="shared" si="6"/>
        <v>58.65</v>
      </c>
      <c r="O14" s="56"/>
    </row>
    <row r="15" s="2" customFormat="1" ht="30" customHeight="1" spans="1:15">
      <c r="A15" s="31" t="s">
        <v>234</v>
      </c>
      <c r="B15" s="32" t="s">
        <v>235</v>
      </c>
      <c r="C15" s="33" t="s">
        <v>221</v>
      </c>
      <c r="D15" s="34">
        <v>1661.11</v>
      </c>
      <c r="E15" s="35">
        <f>SUM(E16:E18)</f>
        <v>6073571</v>
      </c>
      <c r="F15" s="35"/>
      <c r="G15" s="35"/>
      <c r="H15" s="35">
        <f t="shared" si="0"/>
        <v>607.36</v>
      </c>
      <c r="I15" s="40">
        <f t="shared" si="1"/>
        <v>3656.33</v>
      </c>
      <c r="J15" s="57" t="e">
        <f t="shared" si="2"/>
        <v>#REF!</v>
      </c>
      <c r="K15" s="58"/>
      <c r="L15" s="59">
        <v>1039.3</v>
      </c>
      <c r="M15" s="40">
        <f>SUM(M16:M22)</f>
        <v>342.45</v>
      </c>
      <c r="N15" s="35">
        <f t="shared" si="6"/>
        <v>3295.01</v>
      </c>
      <c r="O15" s="56"/>
    </row>
    <row r="16" s="2" customFormat="1" ht="30" customHeight="1" outlineLevel="1" spans="1:15">
      <c r="A16" s="31">
        <v>1</v>
      </c>
      <c r="B16" s="36" t="s">
        <v>225</v>
      </c>
      <c r="C16" s="37" t="s">
        <v>221</v>
      </c>
      <c r="D16" s="38">
        <f>D15</f>
        <v>1661.11</v>
      </c>
      <c r="E16" s="35">
        <v>319859.2</v>
      </c>
      <c r="F16" s="35">
        <v>351839.81</v>
      </c>
      <c r="G16" s="35"/>
      <c r="H16" s="35">
        <f t="shared" si="0"/>
        <v>31.99</v>
      </c>
      <c r="I16" s="40">
        <f t="shared" si="1"/>
        <v>192.56</v>
      </c>
      <c r="J16" s="57" t="e">
        <f t="shared" si="2"/>
        <v>#REF!</v>
      </c>
      <c r="K16" s="58" t="s">
        <v>226</v>
      </c>
      <c r="L16" s="59"/>
      <c r="M16" s="40"/>
      <c r="N16" s="35"/>
      <c r="O16" s="56"/>
    </row>
    <row r="17" s="2" customFormat="1" ht="36" outlineLevel="1" spans="1:15">
      <c r="A17" s="31">
        <v>2</v>
      </c>
      <c r="B17" s="36" t="s">
        <v>227</v>
      </c>
      <c r="C17" s="37" t="s">
        <v>221</v>
      </c>
      <c r="D17" s="38">
        <f>D15</f>
        <v>1661.11</v>
      </c>
      <c r="E17" s="35">
        <v>4359241.65</v>
      </c>
      <c r="F17" s="35">
        <v>4414997.2</v>
      </c>
      <c r="G17" s="35"/>
      <c r="H17" s="35">
        <f t="shared" si="0"/>
        <v>435.92</v>
      </c>
      <c r="I17" s="40">
        <f t="shared" si="1"/>
        <v>2624.29</v>
      </c>
      <c r="J17" s="57" t="e">
        <f t="shared" si="2"/>
        <v>#REF!</v>
      </c>
      <c r="K17" s="58" t="s">
        <v>228</v>
      </c>
      <c r="L17" s="59">
        <f>+L15</f>
        <v>1039.3</v>
      </c>
      <c r="M17" s="40">
        <f>197.47+101.33</f>
        <v>298.8</v>
      </c>
      <c r="N17" s="35">
        <f t="shared" ref="N17:N23" si="7">+M17/L17*10000</f>
        <v>2875.01</v>
      </c>
      <c r="O17" s="56"/>
    </row>
    <row r="18" s="2" customFormat="1" ht="30" customHeight="1" outlineLevel="1" spans="1:16">
      <c r="A18" s="31">
        <v>3</v>
      </c>
      <c r="B18" s="36" t="s">
        <v>229</v>
      </c>
      <c r="C18" s="37" t="s">
        <v>221</v>
      </c>
      <c r="D18" s="38">
        <f>D15</f>
        <v>1661.11</v>
      </c>
      <c r="E18" s="35">
        <f>SUM(E19:E22)</f>
        <v>1394470.15</v>
      </c>
      <c r="F18" s="35"/>
      <c r="G18" s="35"/>
      <c r="H18" s="35">
        <f t="shared" si="0"/>
        <v>139.45</v>
      </c>
      <c r="I18" s="60">
        <f t="shared" si="1"/>
        <v>839.48</v>
      </c>
      <c r="J18" s="57" t="e">
        <f t="shared" si="2"/>
        <v>#REF!</v>
      </c>
      <c r="K18" s="58"/>
      <c r="L18" s="59"/>
      <c r="M18" s="56"/>
      <c r="N18" s="55"/>
      <c r="O18" s="56"/>
      <c r="P18" s="2" t="e">
        <f>+E15+#REF!+E96</f>
        <v>#REF!</v>
      </c>
    </row>
    <row r="19" s="2" customFormat="1" ht="30" customHeight="1" outlineLevel="1" spans="1:15">
      <c r="A19" s="31">
        <f t="shared" ref="A19:A22" si="8">A17+0.1</f>
        <v>2.1</v>
      </c>
      <c r="B19" s="39" t="s">
        <v>230</v>
      </c>
      <c r="C19" s="37" t="s">
        <v>221</v>
      </c>
      <c r="D19" s="38">
        <f>D15</f>
        <v>1661.11</v>
      </c>
      <c r="E19" s="35">
        <v>467481.59</v>
      </c>
      <c r="F19" s="35">
        <v>549730.87</v>
      </c>
      <c r="G19" s="35"/>
      <c r="H19" s="35">
        <f t="shared" si="0"/>
        <v>46.75</v>
      </c>
      <c r="I19" s="40">
        <f t="shared" si="1"/>
        <v>281.43</v>
      </c>
      <c r="J19" s="57" t="e">
        <f t="shared" si="2"/>
        <v>#REF!</v>
      </c>
      <c r="K19" s="58"/>
      <c r="L19" s="59">
        <f>+L15</f>
        <v>1039.3</v>
      </c>
      <c r="M19" s="56">
        <v>27.54</v>
      </c>
      <c r="N19" s="35">
        <f t="shared" si="7"/>
        <v>264.99</v>
      </c>
      <c r="O19" s="56"/>
    </row>
    <row r="20" s="2" customFormat="1" ht="30" customHeight="1" outlineLevel="1" spans="1:15">
      <c r="A20" s="31">
        <f t="shared" si="8"/>
        <v>3.1</v>
      </c>
      <c r="B20" s="39" t="s">
        <v>231</v>
      </c>
      <c r="C20" s="37" t="s">
        <v>221</v>
      </c>
      <c r="D20" s="38">
        <f>+D15</f>
        <v>1661.11</v>
      </c>
      <c r="E20" s="35">
        <v>756243.78</v>
      </c>
      <c r="F20" s="35">
        <v>756243.78</v>
      </c>
      <c r="G20" s="35"/>
      <c r="H20" s="35">
        <f t="shared" si="0"/>
        <v>75.62</v>
      </c>
      <c r="I20" s="40">
        <f t="shared" si="1"/>
        <v>455.26</v>
      </c>
      <c r="J20" s="57" t="e">
        <f t="shared" si="2"/>
        <v>#REF!</v>
      </c>
      <c r="K20" s="58"/>
      <c r="L20" s="59"/>
      <c r="M20" s="56"/>
      <c r="N20" s="35"/>
      <c r="O20" s="56"/>
    </row>
    <row r="21" s="2" customFormat="1" ht="30" customHeight="1" outlineLevel="1" spans="1:15">
      <c r="A21" s="31">
        <f t="shared" si="8"/>
        <v>2.2</v>
      </c>
      <c r="B21" s="39" t="s">
        <v>232</v>
      </c>
      <c r="C21" s="37" t="s">
        <v>221</v>
      </c>
      <c r="D21" s="38">
        <f>+D15</f>
        <v>1661.11</v>
      </c>
      <c r="E21" s="35">
        <v>97277.9</v>
      </c>
      <c r="F21" s="35">
        <v>40912.38</v>
      </c>
      <c r="G21" s="35"/>
      <c r="H21" s="35">
        <f t="shared" si="0"/>
        <v>9.73</v>
      </c>
      <c r="I21" s="40">
        <f t="shared" si="1"/>
        <v>58.56</v>
      </c>
      <c r="J21" s="57" t="e">
        <f t="shared" si="2"/>
        <v>#REF!</v>
      </c>
      <c r="K21" s="58"/>
      <c r="L21" s="59">
        <f>+L15</f>
        <v>1039.3</v>
      </c>
      <c r="M21" s="56">
        <v>9.87</v>
      </c>
      <c r="N21" s="35">
        <f t="shared" si="7"/>
        <v>94.97</v>
      </c>
      <c r="O21" s="56"/>
    </row>
    <row r="22" s="2" customFormat="1" ht="30" customHeight="1" outlineLevel="1" spans="1:15">
      <c r="A22" s="31">
        <f t="shared" si="8"/>
        <v>3.2</v>
      </c>
      <c r="B22" s="32" t="s">
        <v>233</v>
      </c>
      <c r="C22" s="37" t="s">
        <v>221</v>
      </c>
      <c r="D22" s="38">
        <f>+D15</f>
        <v>1661.11</v>
      </c>
      <c r="E22" s="35">
        <v>73466.88</v>
      </c>
      <c r="F22" s="35">
        <v>74409.95</v>
      </c>
      <c r="G22" s="35"/>
      <c r="H22" s="35">
        <f t="shared" si="0"/>
        <v>7.35</v>
      </c>
      <c r="I22" s="40">
        <f t="shared" si="1"/>
        <v>44.23</v>
      </c>
      <c r="J22" s="57" t="e">
        <f t="shared" si="2"/>
        <v>#REF!</v>
      </c>
      <c r="K22" s="58"/>
      <c r="L22" s="59">
        <f>+L15</f>
        <v>1039.3</v>
      </c>
      <c r="M22" s="56">
        <v>6.24</v>
      </c>
      <c r="N22" s="35">
        <f t="shared" si="7"/>
        <v>60.04</v>
      </c>
      <c r="O22" s="56"/>
    </row>
    <row r="23" s="2" customFormat="1" ht="30" customHeight="1" spans="1:15">
      <c r="A23" s="31" t="s">
        <v>236</v>
      </c>
      <c r="B23" s="32" t="s">
        <v>237</v>
      </c>
      <c r="C23" s="33" t="s">
        <v>221</v>
      </c>
      <c r="D23" s="34">
        <v>910.44</v>
      </c>
      <c r="E23" s="35">
        <f>SUM(E24:E26)</f>
        <v>4073909.42</v>
      </c>
      <c r="F23" s="35"/>
      <c r="G23" s="35"/>
      <c r="H23" s="35">
        <f t="shared" si="0"/>
        <v>407.39</v>
      </c>
      <c r="I23" s="40">
        <f t="shared" si="1"/>
        <v>4474.66</v>
      </c>
      <c r="J23" s="57" t="e">
        <f t="shared" si="2"/>
        <v>#REF!</v>
      </c>
      <c r="K23" s="58"/>
      <c r="L23" s="59">
        <v>2602.96</v>
      </c>
      <c r="M23" s="40">
        <f>SUM(M24:M30)</f>
        <v>857.68</v>
      </c>
      <c r="N23" s="35">
        <f t="shared" si="7"/>
        <v>3295.02</v>
      </c>
      <c r="O23" s="56"/>
    </row>
    <row r="24" s="2" customFormat="1" ht="30" customHeight="1" outlineLevel="1" spans="1:15">
      <c r="A24" s="31">
        <v>1</v>
      </c>
      <c r="B24" s="36" t="s">
        <v>225</v>
      </c>
      <c r="C24" s="37" t="s">
        <v>221</v>
      </c>
      <c r="D24" s="38">
        <f>D23</f>
        <v>910.44</v>
      </c>
      <c r="E24" s="35">
        <v>208379.5</v>
      </c>
      <c r="F24" s="35">
        <v>180720.59</v>
      </c>
      <c r="G24" s="35"/>
      <c r="H24" s="35">
        <f t="shared" si="0"/>
        <v>20.84</v>
      </c>
      <c r="I24" s="40">
        <f t="shared" si="1"/>
        <v>228.88</v>
      </c>
      <c r="J24" s="57" t="e">
        <f t="shared" si="2"/>
        <v>#REF!</v>
      </c>
      <c r="K24" s="58" t="s">
        <v>238</v>
      </c>
      <c r="L24" s="59"/>
      <c r="M24" s="40"/>
      <c r="N24" s="35"/>
      <c r="O24" s="56"/>
    </row>
    <row r="25" s="2" customFormat="1" ht="30" customHeight="1" outlineLevel="1" spans="1:15">
      <c r="A25" s="31">
        <v>2</v>
      </c>
      <c r="B25" s="36" t="s">
        <v>227</v>
      </c>
      <c r="C25" s="37" t="s">
        <v>221</v>
      </c>
      <c r="D25" s="38">
        <f>D23</f>
        <v>910.44</v>
      </c>
      <c r="E25" s="35">
        <v>3279774.97</v>
      </c>
      <c r="F25" s="35">
        <v>3247574.46</v>
      </c>
      <c r="G25" s="35"/>
      <c r="H25" s="35">
        <f t="shared" si="0"/>
        <v>327.98</v>
      </c>
      <c r="I25" s="40">
        <f t="shared" si="1"/>
        <v>3602.41</v>
      </c>
      <c r="J25" s="57" t="e">
        <f t="shared" si="2"/>
        <v>#REF!</v>
      </c>
      <c r="K25" s="58" t="s">
        <v>228</v>
      </c>
      <c r="L25" s="59">
        <f>+L23</f>
        <v>2602.96</v>
      </c>
      <c r="M25" s="40">
        <f>494.56+253.79</f>
        <v>748.35</v>
      </c>
      <c r="N25" s="35">
        <f t="shared" ref="N25:N31" si="9">+M25/L25*10000</f>
        <v>2875</v>
      </c>
      <c r="O25" s="56"/>
    </row>
    <row r="26" s="2" customFormat="1" ht="30" customHeight="1" outlineLevel="1" spans="1:16">
      <c r="A26" s="31">
        <v>3</v>
      </c>
      <c r="B26" s="36" t="s">
        <v>229</v>
      </c>
      <c r="C26" s="37" t="s">
        <v>221</v>
      </c>
      <c r="D26" s="38">
        <f>D23</f>
        <v>910.44</v>
      </c>
      <c r="E26" s="35">
        <f>SUM(E27:E30)</f>
        <v>585754.95</v>
      </c>
      <c r="F26" s="35"/>
      <c r="G26" s="35"/>
      <c r="H26" s="35">
        <f t="shared" si="0"/>
        <v>58.58</v>
      </c>
      <c r="I26" s="60">
        <f t="shared" si="1"/>
        <v>643.38</v>
      </c>
      <c r="J26" s="57" t="e">
        <f t="shared" si="2"/>
        <v>#REF!</v>
      </c>
      <c r="K26" s="58" t="s">
        <v>239</v>
      </c>
      <c r="L26" s="59"/>
      <c r="M26" s="56"/>
      <c r="N26" s="55"/>
      <c r="O26" s="56"/>
      <c r="P26" s="2" t="e">
        <f>+E23+#REF!+E110</f>
        <v>#REF!</v>
      </c>
    </row>
    <row r="27" s="2" customFormat="1" ht="30" customHeight="1" outlineLevel="1" spans="1:15">
      <c r="A27" s="31">
        <f t="shared" ref="A27:A30" si="10">A26+0.1</f>
        <v>3.1</v>
      </c>
      <c r="B27" s="39" t="s">
        <v>230</v>
      </c>
      <c r="C27" s="37" t="s">
        <v>221</v>
      </c>
      <c r="D27" s="38">
        <f>D23</f>
        <v>910.44</v>
      </c>
      <c r="E27" s="35">
        <v>269274.42</v>
      </c>
      <c r="F27" s="35">
        <v>549730.87</v>
      </c>
      <c r="G27" s="35"/>
      <c r="H27" s="35">
        <f t="shared" si="0"/>
        <v>26.93</v>
      </c>
      <c r="I27" s="40">
        <f t="shared" si="1"/>
        <v>295.76</v>
      </c>
      <c r="J27" s="57" t="e">
        <f t="shared" si="2"/>
        <v>#REF!</v>
      </c>
      <c r="K27" s="58"/>
      <c r="L27" s="59">
        <f>+L23</f>
        <v>2602.96</v>
      </c>
      <c r="M27" s="56">
        <v>68.98</v>
      </c>
      <c r="N27" s="35">
        <f t="shared" si="9"/>
        <v>265.01</v>
      </c>
      <c r="O27" s="56"/>
    </row>
    <row r="28" s="2" customFormat="1" ht="30" customHeight="1" outlineLevel="1" spans="1:15">
      <c r="A28" s="31">
        <f t="shared" si="10"/>
        <v>3.2</v>
      </c>
      <c r="B28" s="39" t="s">
        <v>231</v>
      </c>
      <c r="C28" s="37" t="s">
        <v>221</v>
      </c>
      <c r="D28" s="38">
        <f>D23</f>
        <v>910.44</v>
      </c>
      <c r="E28" s="35">
        <v>201135.41</v>
      </c>
      <c r="F28" s="35">
        <v>756243.78</v>
      </c>
      <c r="G28" s="35"/>
      <c r="H28" s="35">
        <f t="shared" si="0"/>
        <v>20.11</v>
      </c>
      <c r="I28" s="40">
        <f t="shared" si="1"/>
        <v>220.92</v>
      </c>
      <c r="J28" s="57" t="e">
        <f t="shared" si="2"/>
        <v>#REF!</v>
      </c>
      <c r="K28" s="58"/>
      <c r="L28" s="59"/>
      <c r="M28" s="56"/>
      <c r="N28" s="55"/>
      <c r="O28" s="56"/>
    </row>
    <row r="29" s="2" customFormat="1" ht="30" customHeight="1" outlineLevel="1" spans="1:15">
      <c r="A29" s="31">
        <f t="shared" si="10"/>
        <v>3.3</v>
      </c>
      <c r="B29" s="39" t="s">
        <v>232</v>
      </c>
      <c r="C29" s="37" t="s">
        <v>221</v>
      </c>
      <c r="D29" s="38">
        <f>D23</f>
        <v>910.44</v>
      </c>
      <c r="E29" s="35">
        <v>58406.95</v>
      </c>
      <c r="F29" s="35">
        <v>40912.38</v>
      </c>
      <c r="G29" s="35"/>
      <c r="H29" s="35">
        <f t="shared" si="0"/>
        <v>5.84</v>
      </c>
      <c r="I29" s="40">
        <f t="shared" si="1"/>
        <v>64.15</v>
      </c>
      <c r="J29" s="57" t="e">
        <f t="shared" si="2"/>
        <v>#REF!</v>
      </c>
      <c r="K29" s="58"/>
      <c r="L29" s="59">
        <f>+L23</f>
        <v>2602.96</v>
      </c>
      <c r="M29" s="56">
        <v>24.73</v>
      </c>
      <c r="N29" s="35">
        <f t="shared" si="9"/>
        <v>95.01</v>
      </c>
      <c r="O29" s="56"/>
    </row>
    <row r="30" s="2" customFormat="1" ht="30" customHeight="1" outlineLevel="1" spans="1:15">
      <c r="A30" s="31">
        <f t="shared" si="10"/>
        <v>3.4</v>
      </c>
      <c r="B30" s="32" t="s">
        <v>233</v>
      </c>
      <c r="C30" s="37" t="s">
        <v>221</v>
      </c>
      <c r="D30" s="38">
        <f>D23</f>
        <v>910.44</v>
      </c>
      <c r="E30" s="35">
        <v>56938.17</v>
      </c>
      <c r="F30" s="35">
        <v>74409.95</v>
      </c>
      <c r="G30" s="35"/>
      <c r="H30" s="35">
        <f t="shared" si="0"/>
        <v>5.69</v>
      </c>
      <c r="I30" s="40">
        <f t="shared" si="1"/>
        <v>62.54</v>
      </c>
      <c r="J30" s="57" t="e">
        <f t="shared" si="2"/>
        <v>#REF!</v>
      </c>
      <c r="K30" s="58"/>
      <c r="L30" s="59">
        <f>+L23</f>
        <v>2602.96</v>
      </c>
      <c r="M30" s="56">
        <v>15.62</v>
      </c>
      <c r="N30" s="35">
        <f t="shared" si="9"/>
        <v>60.01</v>
      </c>
      <c r="O30" s="56"/>
    </row>
    <row r="31" s="2" customFormat="1" ht="30" customHeight="1" spans="1:15">
      <c r="A31" s="31" t="s">
        <v>240</v>
      </c>
      <c r="B31" s="32" t="s">
        <v>241</v>
      </c>
      <c r="C31" s="33" t="s">
        <v>221</v>
      </c>
      <c r="D31" s="34">
        <v>786.72</v>
      </c>
      <c r="E31" s="35">
        <f>SUM(E32:E34)</f>
        <v>4383244.72</v>
      </c>
      <c r="F31" s="35"/>
      <c r="G31" s="35"/>
      <c r="H31" s="35">
        <f t="shared" si="0"/>
        <v>438.32</v>
      </c>
      <c r="I31" s="40">
        <f t="shared" si="1"/>
        <v>5571.54</v>
      </c>
      <c r="J31" s="57" t="e">
        <f t="shared" si="2"/>
        <v>#REF!</v>
      </c>
      <c r="K31" s="58"/>
      <c r="L31" s="59">
        <v>50</v>
      </c>
      <c r="M31" s="40">
        <f>SUM(M32:M38)</f>
        <v>18.7</v>
      </c>
      <c r="N31" s="35">
        <f t="shared" si="9"/>
        <v>3740</v>
      </c>
      <c r="O31" s="56"/>
    </row>
    <row r="32" s="2" customFormat="1" ht="30" customHeight="1" outlineLevel="1" spans="1:15">
      <c r="A32" s="31">
        <v>1</v>
      </c>
      <c r="B32" s="36" t="s">
        <v>225</v>
      </c>
      <c r="C32" s="37" t="s">
        <v>221</v>
      </c>
      <c r="D32" s="38">
        <f>D31</f>
        <v>786.72</v>
      </c>
      <c r="E32" s="35">
        <v>365973.59</v>
      </c>
      <c r="F32" s="35">
        <v>423596.29</v>
      </c>
      <c r="G32" s="35"/>
      <c r="H32" s="35">
        <f t="shared" si="0"/>
        <v>36.6</v>
      </c>
      <c r="I32" s="40">
        <f t="shared" si="1"/>
        <v>465.19</v>
      </c>
      <c r="J32" s="57" t="e">
        <f t="shared" si="2"/>
        <v>#REF!</v>
      </c>
      <c r="K32" s="58" t="s">
        <v>226</v>
      </c>
      <c r="L32" s="59"/>
      <c r="M32" s="40"/>
      <c r="N32" s="35"/>
      <c r="O32" s="56"/>
    </row>
    <row r="33" s="2" customFormat="1" ht="30" customHeight="1" outlineLevel="1" spans="1:15">
      <c r="A33" s="31">
        <v>2</v>
      </c>
      <c r="B33" s="36" t="s">
        <v>227</v>
      </c>
      <c r="C33" s="37" t="s">
        <v>221</v>
      </c>
      <c r="D33" s="38">
        <f>D31</f>
        <v>786.72</v>
      </c>
      <c r="E33" s="35">
        <v>2606209.15</v>
      </c>
      <c r="F33" s="35">
        <v>2600716.73</v>
      </c>
      <c r="G33" s="35"/>
      <c r="H33" s="35">
        <f t="shared" si="0"/>
        <v>260.62</v>
      </c>
      <c r="I33" s="40">
        <f t="shared" si="1"/>
        <v>3312.75</v>
      </c>
      <c r="J33" s="57" t="e">
        <f t="shared" si="2"/>
        <v>#REF!</v>
      </c>
      <c r="K33" s="58" t="s">
        <v>228</v>
      </c>
      <c r="L33" s="59">
        <f>+L31</f>
        <v>50</v>
      </c>
      <c r="M33" s="40">
        <v>13.9</v>
      </c>
      <c r="N33" s="35">
        <f t="shared" ref="N33:N39" si="11">+M33/L33*10000</f>
        <v>2780</v>
      </c>
      <c r="O33" s="56"/>
    </row>
    <row r="34" s="2" customFormat="1" ht="30" customHeight="1" outlineLevel="1" spans="1:16">
      <c r="A34" s="31">
        <v>3</v>
      </c>
      <c r="B34" s="36" t="s">
        <v>229</v>
      </c>
      <c r="C34" s="37" t="s">
        <v>221</v>
      </c>
      <c r="D34" s="38">
        <f>D31</f>
        <v>786.72</v>
      </c>
      <c r="E34" s="35">
        <f>SUM(E35:E38)</f>
        <v>1411061.98</v>
      </c>
      <c r="F34" s="35"/>
      <c r="G34" s="35"/>
      <c r="H34" s="35">
        <f t="shared" si="0"/>
        <v>141.11</v>
      </c>
      <c r="I34" s="60">
        <f t="shared" si="1"/>
        <v>1793.6</v>
      </c>
      <c r="J34" s="57" t="e">
        <f t="shared" si="2"/>
        <v>#REF!</v>
      </c>
      <c r="K34" s="58"/>
      <c r="L34" s="59"/>
      <c r="M34" s="56"/>
      <c r="N34" s="55"/>
      <c r="O34" s="56"/>
      <c r="P34" s="2" t="e">
        <f>+E31+#REF!+E127</f>
        <v>#REF!</v>
      </c>
    </row>
    <row r="35" s="2" customFormat="1" ht="30" customHeight="1" outlineLevel="1" spans="1:15">
      <c r="A35" s="31">
        <f t="shared" ref="A35:A38" si="12">A34+0.1</f>
        <v>3.1</v>
      </c>
      <c r="B35" s="39" t="s">
        <v>230</v>
      </c>
      <c r="C35" s="37" t="s">
        <v>221</v>
      </c>
      <c r="D35" s="38">
        <f>D29</f>
        <v>910.44</v>
      </c>
      <c r="E35" s="35">
        <v>481584.56</v>
      </c>
      <c r="F35" s="35">
        <v>530255.37</v>
      </c>
      <c r="G35" s="35"/>
      <c r="H35" s="35">
        <f t="shared" si="0"/>
        <v>48.16</v>
      </c>
      <c r="I35" s="40">
        <f t="shared" si="1"/>
        <v>528.96</v>
      </c>
      <c r="J35" s="57" t="e">
        <f t="shared" si="2"/>
        <v>#REF!</v>
      </c>
      <c r="K35" s="58"/>
      <c r="L35" s="59">
        <f>+L31</f>
        <v>50</v>
      </c>
      <c r="M35" s="56">
        <v>2.5</v>
      </c>
      <c r="N35" s="35">
        <f t="shared" si="11"/>
        <v>500</v>
      </c>
      <c r="O35" s="56"/>
    </row>
    <row r="36" s="2" customFormat="1" ht="30" customHeight="1" outlineLevel="1" spans="1:15">
      <c r="A36" s="31">
        <f t="shared" si="12"/>
        <v>3.2</v>
      </c>
      <c r="B36" s="39" t="s">
        <v>231</v>
      </c>
      <c r="C36" s="37" t="s">
        <v>221</v>
      </c>
      <c r="D36" s="38">
        <f>D28</f>
        <v>910.44</v>
      </c>
      <c r="E36" s="35">
        <v>213207.49</v>
      </c>
      <c r="F36" s="35">
        <v>213207.49</v>
      </c>
      <c r="G36" s="35"/>
      <c r="H36" s="35">
        <f t="shared" si="0"/>
        <v>21.32</v>
      </c>
      <c r="I36" s="40">
        <f t="shared" si="1"/>
        <v>234.18</v>
      </c>
      <c r="J36" s="57" t="e">
        <f t="shared" si="2"/>
        <v>#REF!</v>
      </c>
      <c r="K36" s="58"/>
      <c r="L36" s="59"/>
      <c r="M36" s="56"/>
      <c r="N36" s="55"/>
      <c r="O36" s="56"/>
    </row>
    <row r="37" s="2" customFormat="1" ht="30" customHeight="1" outlineLevel="1" spans="1:15">
      <c r="A37" s="31">
        <f t="shared" si="12"/>
        <v>3.3</v>
      </c>
      <c r="B37" s="39" t="s">
        <v>232</v>
      </c>
      <c r="C37" s="37" t="s">
        <v>221</v>
      </c>
      <c r="D37" s="38">
        <f>D29</f>
        <v>910.44</v>
      </c>
      <c r="E37" s="35">
        <v>551211.87</v>
      </c>
      <c r="F37" s="35">
        <v>511013.33</v>
      </c>
      <c r="G37" s="35"/>
      <c r="H37" s="35">
        <f t="shared" si="0"/>
        <v>55.12</v>
      </c>
      <c r="I37" s="40">
        <f t="shared" si="1"/>
        <v>605.43</v>
      </c>
      <c r="J37" s="57" t="e">
        <f t="shared" si="2"/>
        <v>#REF!</v>
      </c>
      <c r="K37" s="58"/>
      <c r="L37" s="59">
        <f>+L31</f>
        <v>50</v>
      </c>
      <c r="M37" s="56">
        <v>0.8</v>
      </c>
      <c r="N37" s="35">
        <f t="shared" si="11"/>
        <v>160</v>
      </c>
      <c r="O37" s="56"/>
    </row>
    <row r="38" s="2" customFormat="1" ht="30" customHeight="1" outlineLevel="1" spans="1:15">
      <c r="A38" s="31">
        <f t="shared" si="12"/>
        <v>3.4</v>
      </c>
      <c r="B38" s="32" t="s">
        <v>233</v>
      </c>
      <c r="C38" s="37" t="s">
        <v>221</v>
      </c>
      <c r="D38" s="38">
        <f>D31</f>
        <v>786.72</v>
      </c>
      <c r="E38" s="35">
        <v>165058.06</v>
      </c>
      <c r="F38" s="35">
        <v>164360.17</v>
      </c>
      <c r="G38" s="35"/>
      <c r="H38" s="35">
        <f t="shared" si="0"/>
        <v>16.51</v>
      </c>
      <c r="I38" s="40">
        <f t="shared" si="1"/>
        <v>209.81</v>
      </c>
      <c r="J38" s="57" t="e">
        <f t="shared" si="2"/>
        <v>#REF!</v>
      </c>
      <c r="K38" s="58"/>
      <c r="L38" s="59">
        <f>+L31</f>
        <v>50</v>
      </c>
      <c r="M38" s="56">
        <v>1.5</v>
      </c>
      <c r="N38" s="35">
        <f t="shared" si="11"/>
        <v>300</v>
      </c>
      <c r="O38" s="56"/>
    </row>
    <row r="39" s="2" customFormat="1" ht="30" customHeight="1" spans="1:15">
      <c r="A39" s="31" t="s">
        <v>242</v>
      </c>
      <c r="B39" s="32" t="s">
        <v>243</v>
      </c>
      <c r="C39" s="33" t="s">
        <v>221</v>
      </c>
      <c r="D39" s="40">
        <f>D40+D42+D44+D46</f>
        <v>2967.3</v>
      </c>
      <c r="E39" s="35">
        <f>SUM(E40:E49)</f>
        <v>7941580.23</v>
      </c>
      <c r="F39" s="35"/>
      <c r="G39" s="35"/>
      <c r="H39" s="35">
        <f t="shared" si="0"/>
        <v>794.16</v>
      </c>
      <c r="I39" s="40">
        <f t="shared" si="1"/>
        <v>2676.37</v>
      </c>
      <c r="J39" s="57" t="e">
        <f t="shared" si="2"/>
        <v>#REF!</v>
      </c>
      <c r="K39" s="58"/>
      <c r="L39" s="59">
        <v>1450</v>
      </c>
      <c r="M39" s="40">
        <f>SUM(M40:M49)</f>
        <v>366.85</v>
      </c>
      <c r="N39" s="35">
        <f t="shared" si="11"/>
        <v>2530</v>
      </c>
      <c r="O39" s="56"/>
    </row>
    <row r="40" s="2" customFormat="1" ht="30" customHeight="1" outlineLevel="1" spans="1:15">
      <c r="A40" s="31">
        <v>1</v>
      </c>
      <c r="B40" s="36" t="s">
        <v>244</v>
      </c>
      <c r="C40" s="37" t="s">
        <v>221</v>
      </c>
      <c r="D40" s="38">
        <v>1446.37</v>
      </c>
      <c r="E40" s="35">
        <v>579335.5</v>
      </c>
      <c r="F40" s="35">
        <v>579335.5</v>
      </c>
      <c r="G40" s="35"/>
      <c r="H40" s="35">
        <f t="shared" si="0"/>
        <v>57.93</v>
      </c>
      <c r="I40" s="40">
        <f t="shared" si="1"/>
        <v>400.54</v>
      </c>
      <c r="J40" s="57" t="e">
        <f t="shared" si="2"/>
        <v>#REF!</v>
      </c>
      <c r="K40" s="58" t="s">
        <v>226</v>
      </c>
      <c r="L40" s="61">
        <f>+L39</f>
        <v>1450</v>
      </c>
      <c r="M40" s="40">
        <v>348</v>
      </c>
      <c r="N40" s="35">
        <v>3740</v>
      </c>
      <c r="O40" s="56"/>
    </row>
    <row r="41" s="2" customFormat="1" ht="24" outlineLevel="1" spans="1:15">
      <c r="A41" s="31">
        <v>2</v>
      </c>
      <c r="B41" s="36" t="s">
        <v>245</v>
      </c>
      <c r="C41" s="37" t="s">
        <v>221</v>
      </c>
      <c r="D41" s="38">
        <f>+D40</f>
        <v>1446.37</v>
      </c>
      <c r="E41" s="35">
        <v>3352793.74</v>
      </c>
      <c r="F41" s="35">
        <v>3358633.57</v>
      </c>
      <c r="G41" s="35"/>
      <c r="H41" s="35">
        <f t="shared" si="0"/>
        <v>335.28</v>
      </c>
      <c r="I41" s="40">
        <f t="shared" si="1"/>
        <v>2318.07</v>
      </c>
      <c r="J41" s="57" t="e">
        <f t="shared" si="2"/>
        <v>#REF!</v>
      </c>
      <c r="K41" s="58" t="s">
        <v>246</v>
      </c>
      <c r="L41" s="61"/>
      <c r="M41" s="40"/>
      <c r="N41" s="35"/>
      <c r="O41" s="56"/>
    </row>
    <row r="42" s="2" customFormat="1" ht="30" customHeight="1" outlineLevel="1" spans="1:15">
      <c r="A42" s="31">
        <v>3</v>
      </c>
      <c r="B42" s="36" t="s">
        <v>247</v>
      </c>
      <c r="C42" s="37" t="s">
        <v>221</v>
      </c>
      <c r="D42" s="38">
        <v>407.28</v>
      </c>
      <c r="E42" s="35">
        <v>68333.31</v>
      </c>
      <c r="F42" s="35">
        <v>68333.31</v>
      </c>
      <c r="G42" s="35"/>
      <c r="H42" s="35">
        <f t="shared" si="0"/>
        <v>6.83</v>
      </c>
      <c r="I42" s="40">
        <f t="shared" si="1"/>
        <v>167.78</v>
      </c>
      <c r="J42" s="57" t="e">
        <f t="shared" si="2"/>
        <v>#REF!</v>
      </c>
      <c r="K42" s="58" t="s">
        <v>238</v>
      </c>
      <c r="L42" s="61"/>
      <c r="M42" s="40"/>
      <c r="N42" s="35"/>
      <c r="O42" s="56"/>
    </row>
    <row r="43" s="2" customFormat="1" ht="30" customHeight="1" outlineLevel="1" spans="1:15">
      <c r="A43" s="31">
        <v>4</v>
      </c>
      <c r="B43" s="36" t="s">
        <v>248</v>
      </c>
      <c r="C43" s="37" t="s">
        <v>221</v>
      </c>
      <c r="D43" s="38">
        <v>407.28</v>
      </c>
      <c r="E43" s="35">
        <v>857795.11</v>
      </c>
      <c r="F43" s="35">
        <v>905510.52</v>
      </c>
      <c r="G43" s="35"/>
      <c r="H43" s="35">
        <f t="shared" si="0"/>
        <v>85.78</v>
      </c>
      <c r="I43" s="40">
        <f t="shared" si="1"/>
        <v>2106.16</v>
      </c>
      <c r="J43" s="57" t="e">
        <f t="shared" si="2"/>
        <v>#REF!</v>
      </c>
      <c r="K43" s="58" t="s">
        <v>246</v>
      </c>
      <c r="L43" s="61"/>
      <c r="M43" s="40"/>
      <c r="N43" s="35"/>
      <c r="O43" s="56"/>
    </row>
    <row r="44" s="2" customFormat="1" ht="30" customHeight="1" outlineLevel="1" spans="1:15">
      <c r="A44" s="31">
        <v>5</v>
      </c>
      <c r="B44" s="36" t="s">
        <v>249</v>
      </c>
      <c r="C44" s="37" t="s">
        <v>221</v>
      </c>
      <c r="D44" s="38">
        <v>545.04</v>
      </c>
      <c r="E44" s="35">
        <v>180818.72</v>
      </c>
      <c r="F44" s="35">
        <v>180818.72</v>
      </c>
      <c r="G44" s="35"/>
      <c r="H44" s="35">
        <f t="shared" si="0"/>
        <v>18.08</v>
      </c>
      <c r="I44" s="40">
        <f t="shared" si="1"/>
        <v>331.75</v>
      </c>
      <c r="J44" s="57" t="e">
        <f t="shared" si="2"/>
        <v>#REF!</v>
      </c>
      <c r="K44" s="58" t="s">
        <v>226</v>
      </c>
      <c r="L44" s="61"/>
      <c r="M44" s="40"/>
      <c r="N44" s="35"/>
      <c r="O44" s="56"/>
    </row>
    <row r="45" s="2" customFormat="1" ht="30" customHeight="1" outlineLevel="1" spans="1:15">
      <c r="A45" s="31">
        <v>6</v>
      </c>
      <c r="B45" s="36" t="s">
        <v>250</v>
      </c>
      <c r="C45" s="37" t="s">
        <v>221</v>
      </c>
      <c r="D45" s="38">
        <v>545.04</v>
      </c>
      <c r="E45" s="35">
        <v>982424.62</v>
      </c>
      <c r="F45" s="35">
        <v>982876.34</v>
      </c>
      <c r="G45" s="35"/>
      <c r="H45" s="35">
        <f t="shared" si="0"/>
        <v>98.24</v>
      </c>
      <c r="I45" s="40">
        <f t="shared" si="1"/>
        <v>1802.48</v>
      </c>
      <c r="J45" s="57" t="e">
        <f t="shared" si="2"/>
        <v>#REF!</v>
      </c>
      <c r="K45" s="58" t="s">
        <v>246</v>
      </c>
      <c r="L45" s="61"/>
      <c r="M45" s="40"/>
      <c r="N45" s="35"/>
      <c r="O45" s="56"/>
    </row>
    <row r="46" s="2" customFormat="1" ht="30" customHeight="1" outlineLevel="1" spans="1:15">
      <c r="A46" s="31">
        <v>7</v>
      </c>
      <c r="B46" s="36" t="s">
        <v>251</v>
      </c>
      <c r="C46" s="37" t="s">
        <v>221</v>
      </c>
      <c r="D46" s="38">
        <v>568.61</v>
      </c>
      <c r="E46" s="35">
        <v>263164.13</v>
      </c>
      <c r="F46" s="35">
        <v>263164.13</v>
      </c>
      <c r="G46" s="35"/>
      <c r="H46" s="35">
        <f t="shared" si="0"/>
        <v>26.32</v>
      </c>
      <c r="I46" s="40">
        <f t="shared" si="1"/>
        <v>462.82</v>
      </c>
      <c r="J46" s="57" t="e">
        <f t="shared" si="2"/>
        <v>#REF!</v>
      </c>
      <c r="K46" s="58" t="s">
        <v>226</v>
      </c>
      <c r="L46" s="61"/>
      <c r="M46" s="40"/>
      <c r="N46" s="35"/>
      <c r="O46" s="56"/>
    </row>
    <row r="47" s="2" customFormat="1" ht="30" customHeight="1" outlineLevel="1" spans="1:15">
      <c r="A47" s="31">
        <v>8</v>
      </c>
      <c r="B47" s="36" t="s">
        <v>252</v>
      </c>
      <c r="C47" s="37" t="s">
        <v>221</v>
      </c>
      <c r="D47" s="38">
        <v>568.61</v>
      </c>
      <c r="E47" s="35">
        <v>1534009.91</v>
      </c>
      <c r="F47" s="35">
        <v>1528014.32</v>
      </c>
      <c r="G47" s="35"/>
      <c r="H47" s="35">
        <f t="shared" si="0"/>
        <v>153.4</v>
      </c>
      <c r="I47" s="40">
        <f t="shared" si="1"/>
        <v>2697.82</v>
      </c>
      <c r="J47" s="57" t="e">
        <f t="shared" si="2"/>
        <v>#REF!</v>
      </c>
      <c r="K47" s="58" t="s">
        <v>246</v>
      </c>
      <c r="L47" s="61"/>
      <c r="M47" s="40"/>
      <c r="N47" s="35"/>
      <c r="O47" s="56"/>
    </row>
    <row r="48" s="2" customFormat="1" ht="30" customHeight="1" outlineLevel="1" spans="1:15">
      <c r="A48" s="31">
        <v>9</v>
      </c>
      <c r="B48" s="36" t="s">
        <v>253</v>
      </c>
      <c r="C48" s="37" t="s">
        <v>221</v>
      </c>
      <c r="D48" s="38">
        <f>+D39</f>
        <v>2967.3</v>
      </c>
      <c r="E48" s="35">
        <v>78978.56</v>
      </c>
      <c r="F48" s="35">
        <v>83127.1</v>
      </c>
      <c r="G48" s="35"/>
      <c r="H48" s="35">
        <f t="shared" si="0"/>
        <v>7.9</v>
      </c>
      <c r="I48" s="40">
        <f t="shared" si="1"/>
        <v>26.62</v>
      </c>
      <c r="J48" s="57" t="e">
        <f t="shared" si="2"/>
        <v>#REF!</v>
      </c>
      <c r="K48" s="58"/>
      <c r="L48" s="59">
        <f>+L39</f>
        <v>1450</v>
      </c>
      <c r="M48" s="40">
        <v>14.5</v>
      </c>
      <c r="N48" s="35">
        <f t="shared" ref="N48:N50" si="13">+M48/L48*10000</f>
        <v>100</v>
      </c>
      <c r="O48" s="56"/>
    </row>
    <row r="49" s="2" customFormat="1" ht="30" customHeight="1" outlineLevel="1" spans="1:15">
      <c r="A49" s="31">
        <v>10</v>
      </c>
      <c r="B49" s="36" t="s">
        <v>254</v>
      </c>
      <c r="C49" s="37" t="s">
        <v>221</v>
      </c>
      <c r="D49" s="38">
        <f>+D39</f>
        <v>2967.3</v>
      </c>
      <c r="E49" s="35">
        <v>43926.63</v>
      </c>
      <c r="F49" s="35">
        <v>43926.63</v>
      </c>
      <c r="G49" s="35"/>
      <c r="H49" s="35">
        <f t="shared" si="0"/>
        <v>4.39</v>
      </c>
      <c r="I49" s="40">
        <f t="shared" si="1"/>
        <v>14.8</v>
      </c>
      <c r="J49" s="57" t="e">
        <f t="shared" si="2"/>
        <v>#REF!</v>
      </c>
      <c r="K49" s="58"/>
      <c r="L49" s="59">
        <f>+L39</f>
        <v>1450</v>
      </c>
      <c r="M49" s="40">
        <v>4.35</v>
      </c>
      <c r="N49" s="35">
        <f t="shared" si="13"/>
        <v>30</v>
      </c>
      <c r="O49" s="56"/>
    </row>
    <row r="50" s="2" customFormat="1" ht="30" customHeight="1" spans="1:15">
      <c r="A50" s="31" t="s">
        <v>255</v>
      </c>
      <c r="B50" s="32" t="s">
        <v>256</v>
      </c>
      <c r="C50" s="33" t="s">
        <v>221</v>
      </c>
      <c r="D50" s="40">
        <v>1000</v>
      </c>
      <c r="E50" s="35">
        <f>SUM(E51:E53)</f>
        <v>2606848.73</v>
      </c>
      <c r="F50" s="35"/>
      <c r="G50" s="35"/>
      <c r="H50" s="35">
        <f t="shared" si="0"/>
        <v>260.68</v>
      </c>
      <c r="I50" s="40">
        <f t="shared" si="1"/>
        <v>2606.85</v>
      </c>
      <c r="J50" s="57" t="e">
        <f t="shared" si="2"/>
        <v>#REF!</v>
      </c>
      <c r="K50" s="58"/>
      <c r="L50" s="59">
        <v>1000</v>
      </c>
      <c r="M50" s="40">
        <f>SUM(M51:M57)</f>
        <v>329.5</v>
      </c>
      <c r="N50" s="35">
        <f t="shared" si="13"/>
        <v>3295</v>
      </c>
      <c r="O50" s="56"/>
    </row>
    <row r="51" s="2" customFormat="1" ht="30" customHeight="1" outlineLevel="1" spans="1:15">
      <c r="A51" s="31">
        <v>1</v>
      </c>
      <c r="B51" s="36" t="s">
        <v>225</v>
      </c>
      <c r="C51" s="37" t="s">
        <v>221</v>
      </c>
      <c r="D51" s="38">
        <f>D50</f>
        <v>1000</v>
      </c>
      <c r="E51" s="35">
        <v>17324.38</v>
      </c>
      <c r="F51" s="35">
        <v>17324.38</v>
      </c>
      <c r="G51" s="35"/>
      <c r="H51" s="35">
        <f t="shared" si="0"/>
        <v>1.73</v>
      </c>
      <c r="I51" s="40">
        <f t="shared" si="1"/>
        <v>17.32</v>
      </c>
      <c r="J51" s="57" t="e">
        <f t="shared" si="2"/>
        <v>#REF!</v>
      </c>
      <c r="K51" s="58" t="s">
        <v>238</v>
      </c>
      <c r="L51" s="59"/>
      <c r="M51" s="40"/>
      <c r="N51" s="35"/>
      <c r="O51" s="56"/>
    </row>
    <row r="52" s="2" customFormat="1" ht="36" outlineLevel="1" spans="1:15">
      <c r="A52" s="31">
        <v>2</v>
      </c>
      <c r="B52" s="36" t="s">
        <v>227</v>
      </c>
      <c r="C52" s="37" t="s">
        <v>221</v>
      </c>
      <c r="D52" s="38">
        <f>D50</f>
        <v>1000</v>
      </c>
      <c r="E52" s="35">
        <v>2492645.9</v>
      </c>
      <c r="F52" s="35">
        <v>2462715.29</v>
      </c>
      <c r="G52" s="35"/>
      <c r="H52" s="35">
        <f t="shared" si="0"/>
        <v>249.26</v>
      </c>
      <c r="I52" s="40">
        <f t="shared" si="1"/>
        <v>2492.65</v>
      </c>
      <c r="J52" s="57" t="e">
        <f t="shared" si="2"/>
        <v>#REF!</v>
      </c>
      <c r="K52" s="58" t="s">
        <v>228</v>
      </c>
      <c r="L52" s="59">
        <f>+L50</f>
        <v>1000</v>
      </c>
      <c r="M52" s="40">
        <v>295</v>
      </c>
      <c r="N52" s="35">
        <f t="shared" ref="N52:N58" si="14">+M52/L52*10000</f>
        <v>2950</v>
      </c>
      <c r="O52" s="56"/>
    </row>
    <row r="53" s="2" customFormat="1" ht="30" customHeight="1" outlineLevel="1" spans="1:16">
      <c r="A53" s="31">
        <v>3</v>
      </c>
      <c r="B53" s="36" t="s">
        <v>229</v>
      </c>
      <c r="C53" s="37" t="s">
        <v>221</v>
      </c>
      <c r="D53" s="38">
        <f>D50</f>
        <v>1000</v>
      </c>
      <c r="E53" s="35">
        <f>SUM(E54:E57)</f>
        <v>96878.45</v>
      </c>
      <c r="F53" s="35"/>
      <c r="G53" s="35"/>
      <c r="H53" s="35">
        <f t="shared" si="0"/>
        <v>9.69</v>
      </c>
      <c r="I53" s="60">
        <f t="shared" si="1"/>
        <v>96.88</v>
      </c>
      <c r="J53" s="57" t="e">
        <f t="shared" si="2"/>
        <v>#REF!</v>
      </c>
      <c r="K53" s="58"/>
      <c r="L53" s="59"/>
      <c r="M53" s="56"/>
      <c r="N53" s="55"/>
      <c r="O53" s="56"/>
      <c r="P53" s="2" t="e">
        <f>+E50+#REF!+E190</f>
        <v>#REF!</v>
      </c>
    </row>
    <row r="54" s="2" customFormat="1" ht="30" customHeight="1" outlineLevel="1" spans="1:15">
      <c r="A54" s="31">
        <f t="shared" ref="A54:A57" si="15">A53+0.1</f>
        <v>3.1</v>
      </c>
      <c r="B54" s="39" t="s">
        <v>230</v>
      </c>
      <c r="C54" s="37" t="s">
        <v>221</v>
      </c>
      <c r="D54" s="38">
        <f>D50</f>
        <v>1000</v>
      </c>
      <c r="E54" s="35">
        <v>56380.84</v>
      </c>
      <c r="F54" s="35">
        <v>61712.97</v>
      </c>
      <c r="G54" s="35"/>
      <c r="H54" s="35">
        <f t="shared" si="0"/>
        <v>5.64</v>
      </c>
      <c r="I54" s="40">
        <f t="shared" si="1"/>
        <v>56.38</v>
      </c>
      <c r="J54" s="57" t="e">
        <f t="shared" si="2"/>
        <v>#REF!</v>
      </c>
      <c r="K54" s="58"/>
      <c r="L54" s="59">
        <f>+L50</f>
        <v>1000</v>
      </c>
      <c r="M54" s="56">
        <v>20</v>
      </c>
      <c r="N54" s="35">
        <f t="shared" si="14"/>
        <v>200</v>
      </c>
      <c r="O54" s="56"/>
    </row>
    <row r="55" s="2" customFormat="1" ht="30" customHeight="1" outlineLevel="1" spans="1:15">
      <c r="A55" s="31">
        <f t="shared" si="15"/>
        <v>3.2</v>
      </c>
      <c r="B55" s="39" t="s">
        <v>231</v>
      </c>
      <c r="C55" s="37" t="s">
        <v>221</v>
      </c>
      <c r="D55" s="38">
        <f>D50</f>
        <v>1000</v>
      </c>
      <c r="E55" s="35">
        <v>23196.19</v>
      </c>
      <c r="F55" s="35">
        <v>23196.19</v>
      </c>
      <c r="G55" s="35"/>
      <c r="H55" s="35">
        <f t="shared" si="0"/>
        <v>2.32</v>
      </c>
      <c r="I55" s="40">
        <f t="shared" si="1"/>
        <v>23.2</v>
      </c>
      <c r="J55" s="57" t="e">
        <f t="shared" si="2"/>
        <v>#REF!</v>
      </c>
      <c r="K55" s="58"/>
      <c r="L55" s="59"/>
      <c r="M55" s="56"/>
      <c r="N55" s="55"/>
      <c r="O55" s="56"/>
    </row>
    <row r="56" s="2" customFormat="1" ht="30" customHeight="1" outlineLevel="1" spans="1:15">
      <c r="A56" s="31">
        <f t="shared" si="15"/>
        <v>3.3</v>
      </c>
      <c r="B56" s="39" t="s">
        <v>232</v>
      </c>
      <c r="C56" s="37" t="s">
        <v>221</v>
      </c>
      <c r="D56" s="38">
        <f>D50</f>
        <v>1000</v>
      </c>
      <c r="E56" s="35">
        <v>5210.98</v>
      </c>
      <c r="F56" s="35">
        <v>5210.98</v>
      </c>
      <c r="G56" s="35"/>
      <c r="H56" s="35">
        <f t="shared" si="0"/>
        <v>0.52</v>
      </c>
      <c r="I56" s="40">
        <f t="shared" si="1"/>
        <v>5.21</v>
      </c>
      <c r="J56" s="57" t="e">
        <f t="shared" si="2"/>
        <v>#REF!</v>
      </c>
      <c r="K56" s="58"/>
      <c r="L56" s="59">
        <f>+L50</f>
        <v>1000</v>
      </c>
      <c r="M56" s="56">
        <v>9.5</v>
      </c>
      <c r="N56" s="35">
        <f t="shared" si="14"/>
        <v>95</v>
      </c>
      <c r="O56" s="56"/>
    </row>
    <row r="57" s="2" customFormat="1" ht="30" customHeight="1" outlineLevel="1" spans="1:15">
      <c r="A57" s="31">
        <f t="shared" si="15"/>
        <v>3.4</v>
      </c>
      <c r="B57" s="32" t="s">
        <v>233</v>
      </c>
      <c r="C57" s="37" t="s">
        <v>221</v>
      </c>
      <c r="D57" s="38">
        <f>D50</f>
        <v>1000</v>
      </c>
      <c r="E57" s="35">
        <v>12090.44</v>
      </c>
      <c r="F57" s="35">
        <v>12277.54</v>
      </c>
      <c r="G57" s="35"/>
      <c r="H57" s="35">
        <f t="shared" si="0"/>
        <v>1.21</v>
      </c>
      <c r="I57" s="40">
        <f t="shared" si="1"/>
        <v>12.09</v>
      </c>
      <c r="J57" s="57" t="e">
        <f t="shared" si="2"/>
        <v>#REF!</v>
      </c>
      <c r="K57" s="58"/>
      <c r="L57" s="59">
        <f>+L50</f>
        <v>1000</v>
      </c>
      <c r="M57" s="56">
        <v>5</v>
      </c>
      <c r="N57" s="35">
        <f t="shared" si="14"/>
        <v>50</v>
      </c>
      <c r="O57" s="56"/>
    </row>
    <row r="58" s="2" customFormat="1" ht="30" customHeight="1" spans="1:15">
      <c r="A58" s="31" t="s">
        <v>257</v>
      </c>
      <c r="B58" s="32" t="s">
        <v>258</v>
      </c>
      <c r="C58" s="33" t="s">
        <v>221</v>
      </c>
      <c r="D58" s="40">
        <v>39.44</v>
      </c>
      <c r="E58" s="35">
        <f>SUM(E59:E61)</f>
        <v>218257.66</v>
      </c>
      <c r="F58" s="35"/>
      <c r="G58" s="35"/>
      <c r="H58" s="35">
        <f t="shared" si="0"/>
        <v>21.83</v>
      </c>
      <c r="I58" s="40">
        <f t="shared" si="1"/>
        <v>5533.92</v>
      </c>
      <c r="J58" s="57" t="e">
        <f t="shared" si="2"/>
        <v>#REF!</v>
      </c>
      <c r="K58" s="58"/>
      <c r="L58" s="59">
        <v>80</v>
      </c>
      <c r="M58" s="40">
        <f>SUM(M59:M65)</f>
        <v>38.4</v>
      </c>
      <c r="N58" s="35">
        <f t="shared" si="14"/>
        <v>4800</v>
      </c>
      <c r="O58" s="56"/>
    </row>
    <row r="59" s="2" customFormat="1" ht="30" customHeight="1" outlineLevel="1" spans="1:15">
      <c r="A59" s="31">
        <v>1</v>
      </c>
      <c r="B59" s="36" t="s">
        <v>225</v>
      </c>
      <c r="C59" s="37" t="s">
        <v>221</v>
      </c>
      <c r="D59" s="38">
        <f>D58</f>
        <v>39.44</v>
      </c>
      <c r="E59" s="35">
        <v>1599.53</v>
      </c>
      <c r="F59" s="35">
        <v>1599.53</v>
      </c>
      <c r="G59" s="35"/>
      <c r="H59" s="35">
        <f t="shared" si="0"/>
        <v>0.16</v>
      </c>
      <c r="I59" s="40">
        <f t="shared" si="1"/>
        <v>40.56</v>
      </c>
      <c r="J59" s="57" t="e">
        <f t="shared" si="2"/>
        <v>#REF!</v>
      </c>
      <c r="K59" s="58" t="s">
        <v>238</v>
      </c>
      <c r="L59" s="59"/>
      <c r="M59" s="40"/>
      <c r="N59" s="35"/>
      <c r="O59" s="56"/>
    </row>
    <row r="60" s="2" customFormat="1" ht="30" customHeight="1" outlineLevel="1" spans="1:15">
      <c r="A60" s="31">
        <v>2</v>
      </c>
      <c r="B60" s="36" t="s">
        <v>227</v>
      </c>
      <c r="C60" s="37" t="s">
        <v>221</v>
      </c>
      <c r="D60" s="38">
        <f>D58</f>
        <v>39.44</v>
      </c>
      <c r="E60" s="35">
        <v>173336.81</v>
      </c>
      <c r="F60" s="35">
        <v>171873.55</v>
      </c>
      <c r="G60" s="35"/>
      <c r="H60" s="35">
        <f t="shared" si="0"/>
        <v>17.33</v>
      </c>
      <c r="I60" s="40">
        <f t="shared" si="1"/>
        <v>4394.95</v>
      </c>
      <c r="J60" s="57" t="e">
        <f t="shared" si="2"/>
        <v>#REF!</v>
      </c>
      <c r="K60" s="58" t="s">
        <v>228</v>
      </c>
      <c r="L60" s="59">
        <f>+L58</f>
        <v>80</v>
      </c>
      <c r="M60" s="40">
        <v>35.04</v>
      </c>
      <c r="N60" s="35">
        <f t="shared" ref="N60:N65" si="16">+M60/L60*10000</f>
        <v>4380</v>
      </c>
      <c r="O60" s="56"/>
    </row>
    <row r="61" s="2" customFormat="1" ht="30" customHeight="1" outlineLevel="1" spans="1:16">
      <c r="A61" s="31">
        <v>3</v>
      </c>
      <c r="B61" s="36" t="s">
        <v>229</v>
      </c>
      <c r="C61" s="37" t="s">
        <v>221</v>
      </c>
      <c r="D61" s="38">
        <f>D58</f>
        <v>39.44</v>
      </c>
      <c r="E61" s="35">
        <f>SUM(E62:E65)</f>
        <v>43321.32</v>
      </c>
      <c r="F61" s="35"/>
      <c r="G61" s="35"/>
      <c r="H61" s="35">
        <f t="shared" si="0"/>
        <v>4.33</v>
      </c>
      <c r="I61" s="60">
        <f t="shared" si="1"/>
        <v>1098.41</v>
      </c>
      <c r="J61" s="57" t="e">
        <f t="shared" si="2"/>
        <v>#REF!</v>
      </c>
      <c r="K61" s="58"/>
      <c r="L61" s="59"/>
      <c r="M61" s="56"/>
      <c r="N61" s="55"/>
      <c r="O61" s="56"/>
      <c r="P61" s="2" t="e">
        <f>+E58+#REF!+E199</f>
        <v>#REF!</v>
      </c>
    </row>
    <row r="62" s="2" customFormat="1" ht="30" customHeight="1" outlineLevel="1" spans="1:15">
      <c r="A62" s="31">
        <f t="shared" ref="A62:A65" si="17">A61+0.1</f>
        <v>3.1</v>
      </c>
      <c r="B62" s="39" t="s">
        <v>230</v>
      </c>
      <c r="C62" s="37" t="s">
        <v>221</v>
      </c>
      <c r="D62" s="38">
        <f>D58</f>
        <v>39.44</v>
      </c>
      <c r="E62" s="35">
        <v>24225.33</v>
      </c>
      <c r="F62" s="35">
        <v>28979.46</v>
      </c>
      <c r="G62" s="35"/>
      <c r="H62" s="35">
        <f t="shared" si="0"/>
        <v>2.42</v>
      </c>
      <c r="I62" s="40">
        <f t="shared" si="1"/>
        <v>614.23</v>
      </c>
      <c r="J62" s="57" t="e">
        <f t="shared" si="2"/>
        <v>#REF!</v>
      </c>
      <c r="K62" s="58"/>
      <c r="L62" s="59">
        <f>+L58</f>
        <v>80</v>
      </c>
      <c r="M62" s="56">
        <v>2</v>
      </c>
      <c r="N62" s="35">
        <f t="shared" si="16"/>
        <v>250</v>
      </c>
      <c r="O62" s="56"/>
    </row>
    <row r="63" s="2" customFormat="1" ht="30" customHeight="1" outlineLevel="1" spans="1:15">
      <c r="A63" s="31">
        <f t="shared" si="17"/>
        <v>3.2</v>
      </c>
      <c r="B63" s="39" t="s">
        <v>231</v>
      </c>
      <c r="C63" s="37" t="s">
        <v>221</v>
      </c>
      <c r="D63" s="38">
        <f>D58</f>
        <v>39.44</v>
      </c>
      <c r="E63" s="35">
        <v>4282.87</v>
      </c>
      <c r="F63" s="35">
        <v>4282.87</v>
      </c>
      <c r="G63" s="35"/>
      <c r="H63" s="35">
        <f t="shared" si="0"/>
        <v>0.43</v>
      </c>
      <c r="I63" s="40">
        <f t="shared" si="1"/>
        <v>108.59</v>
      </c>
      <c r="J63" s="57" t="e">
        <f t="shared" si="2"/>
        <v>#REF!</v>
      </c>
      <c r="K63" s="58"/>
      <c r="L63" s="59"/>
      <c r="M63" s="56"/>
      <c r="N63" s="55"/>
      <c r="O63" s="56"/>
    </row>
    <row r="64" s="2" customFormat="1" ht="30" customHeight="1" outlineLevel="1" spans="1:15">
      <c r="A64" s="31">
        <f t="shared" si="17"/>
        <v>3.3</v>
      </c>
      <c r="B64" s="39" t="s">
        <v>232</v>
      </c>
      <c r="C64" s="37" t="s">
        <v>221</v>
      </c>
      <c r="D64" s="38">
        <f>D58</f>
        <v>39.44</v>
      </c>
      <c r="E64" s="35">
        <v>2383.99</v>
      </c>
      <c r="F64" s="35">
        <v>2383.99</v>
      </c>
      <c r="G64" s="35"/>
      <c r="H64" s="35">
        <f t="shared" si="0"/>
        <v>0.24</v>
      </c>
      <c r="I64" s="40">
        <f t="shared" si="1"/>
        <v>60.45</v>
      </c>
      <c r="J64" s="57" t="e">
        <f t="shared" si="2"/>
        <v>#REF!</v>
      </c>
      <c r="K64" s="58"/>
      <c r="L64" s="59">
        <f>+L58</f>
        <v>80</v>
      </c>
      <c r="M64" s="56">
        <v>0.16</v>
      </c>
      <c r="N64" s="35">
        <f t="shared" si="16"/>
        <v>20</v>
      </c>
      <c r="O64" s="56"/>
    </row>
    <row r="65" s="2" customFormat="1" ht="30" customHeight="1" outlineLevel="1" spans="1:15">
      <c r="A65" s="31">
        <f t="shared" si="17"/>
        <v>3.4</v>
      </c>
      <c r="B65" s="32" t="s">
        <v>233</v>
      </c>
      <c r="C65" s="37" t="s">
        <v>221</v>
      </c>
      <c r="D65" s="38">
        <f>D58</f>
        <v>39.44</v>
      </c>
      <c r="E65" s="35">
        <v>12429.13</v>
      </c>
      <c r="F65" s="35">
        <v>12613.81</v>
      </c>
      <c r="G65" s="35"/>
      <c r="H65" s="35">
        <f t="shared" si="0"/>
        <v>1.24</v>
      </c>
      <c r="I65" s="40">
        <f t="shared" si="1"/>
        <v>315.14</v>
      </c>
      <c r="J65" s="57" t="e">
        <f t="shared" si="2"/>
        <v>#REF!</v>
      </c>
      <c r="K65" s="58"/>
      <c r="L65" s="59">
        <f>+L58</f>
        <v>80</v>
      </c>
      <c r="M65" s="56">
        <v>1.2</v>
      </c>
      <c r="N65" s="35">
        <f t="shared" si="16"/>
        <v>150</v>
      </c>
      <c r="O65" s="56"/>
    </row>
    <row r="66" s="2" customFormat="1" ht="30" customHeight="1" spans="1:15">
      <c r="A66" s="31" t="s">
        <v>259</v>
      </c>
      <c r="B66" s="32" t="s">
        <v>260</v>
      </c>
      <c r="C66" s="33" t="s">
        <v>221</v>
      </c>
      <c r="D66" s="40">
        <v>77.7</v>
      </c>
      <c r="E66" s="35">
        <f>SUM(E67:E69)</f>
        <v>1857326.41</v>
      </c>
      <c r="F66" s="35"/>
      <c r="G66" s="35"/>
      <c r="H66" s="35">
        <f t="shared" si="0"/>
        <v>185.73</v>
      </c>
      <c r="I66" s="40">
        <f t="shared" si="1"/>
        <v>23903.81</v>
      </c>
      <c r="J66" s="57" t="e">
        <f t="shared" si="2"/>
        <v>#REF!</v>
      </c>
      <c r="K66" s="58"/>
      <c r="L66" s="59"/>
      <c r="M66" s="40">
        <v>50</v>
      </c>
      <c r="N66" s="35"/>
      <c r="O66" s="56"/>
    </row>
    <row r="67" s="2" customFormat="1" ht="30" customHeight="1" outlineLevel="1" spans="1:15">
      <c r="A67" s="31">
        <v>1</v>
      </c>
      <c r="B67" s="36" t="s">
        <v>225</v>
      </c>
      <c r="C67" s="37" t="s">
        <v>221</v>
      </c>
      <c r="D67" s="38">
        <v>32.5</v>
      </c>
      <c r="E67" s="35">
        <v>94435.09</v>
      </c>
      <c r="F67" s="35">
        <v>94435.09</v>
      </c>
      <c r="G67" s="35"/>
      <c r="H67" s="35">
        <f t="shared" si="0"/>
        <v>9.44</v>
      </c>
      <c r="I67" s="40">
        <f t="shared" si="1"/>
        <v>2905.7</v>
      </c>
      <c r="J67" s="57" t="e">
        <f t="shared" si="2"/>
        <v>#REF!</v>
      </c>
      <c r="K67" s="58" t="s">
        <v>238</v>
      </c>
      <c r="L67" s="59"/>
      <c r="M67" s="40"/>
      <c r="N67" s="35"/>
      <c r="O67" s="56"/>
    </row>
    <row r="68" s="2" customFormat="1" ht="30" customHeight="1" outlineLevel="1" spans="1:15">
      <c r="A68" s="31">
        <v>2</v>
      </c>
      <c r="B68" s="36" t="s">
        <v>227</v>
      </c>
      <c r="C68" s="37" t="s">
        <v>221</v>
      </c>
      <c r="D68" s="38">
        <f>D66</f>
        <v>77.7</v>
      </c>
      <c r="E68" s="35">
        <v>1698274.95</v>
      </c>
      <c r="F68" s="35">
        <v>1695692.85</v>
      </c>
      <c r="G68" s="35"/>
      <c r="H68" s="35">
        <f t="shared" si="0"/>
        <v>169.83</v>
      </c>
      <c r="I68" s="40">
        <f t="shared" si="1"/>
        <v>21856.82</v>
      </c>
      <c r="J68" s="57" t="e">
        <f t="shared" si="2"/>
        <v>#REF!</v>
      </c>
      <c r="K68" s="58" t="s">
        <v>228</v>
      </c>
      <c r="L68" s="59"/>
      <c r="M68" s="40"/>
      <c r="N68" s="35"/>
      <c r="O68" s="56"/>
    </row>
    <row r="69" s="2" customFormat="1" ht="30" customHeight="1" outlineLevel="1" spans="1:16">
      <c r="A69" s="31">
        <v>3</v>
      </c>
      <c r="B69" s="36" t="s">
        <v>229</v>
      </c>
      <c r="C69" s="37" t="s">
        <v>221</v>
      </c>
      <c r="D69" s="38">
        <f>D66</f>
        <v>77.7</v>
      </c>
      <c r="E69" s="35">
        <f>SUM(E70:E73)</f>
        <v>64616.37</v>
      </c>
      <c r="F69" s="35"/>
      <c r="G69" s="35"/>
      <c r="H69" s="35">
        <f t="shared" ref="H69:H127" si="18">E69/10000</f>
        <v>6.46</v>
      </c>
      <c r="I69" s="60">
        <f t="shared" ref="I69:I103" si="19">E69/D69</f>
        <v>831.61</v>
      </c>
      <c r="J69" s="57" t="e">
        <f t="shared" ref="J69:J104" si="20">E69/$E$174</f>
        <v>#REF!</v>
      </c>
      <c r="K69" s="58"/>
      <c r="L69" s="59"/>
      <c r="M69" s="56"/>
      <c r="N69" s="55"/>
      <c r="O69" s="56"/>
      <c r="P69" s="2" t="e">
        <f>+E66+#REF!+E208</f>
        <v>#REF!</v>
      </c>
    </row>
    <row r="70" s="2" customFormat="1" ht="30" customHeight="1" outlineLevel="1" spans="1:15">
      <c r="A70" s="31">
        <f t="shared" ref="A70:A73" si="21">A69+0.1</f>
        <v>3.1</v>
      </c>
      <c r="B70" s="39" t="s">
        <v>230</v>
      </c>
      <c r="C70" s="37" t="s">
        <v>221</v>
      </c>
      <c r="D70" s="38">
        <f>D66</f>
        <v>77.7</v>
      </c>
      <c r="E70" s="35">
        <v>45329.88</v>
      </c>
      <c r="F70" s="35">
        <v>50896.94</v>
      </c>
      <c r="G70" s="35"/>
      <c r="H70" s="35">
        <f t="shared" si="18"/>
        <v>4.53</v>
      </c>
      <c r="I70" s="40">
        <f t="shared" si="19"/>
        <v>583.4</v>
      </c>
      <c r="J70" s="57" t="e">
        <f t="shared" si="20"/>
        <v>#REF!</v>
      </c>
      <c r="K70" s="58"/>
      <c r="L70" s="59"/>
      <c r="M70" s="56"/>
      <c r="N70" s="55"/>
      <c r="O70" s="56"/>
    </row>
    <row r="71" s="2" customFormat="1" ht="30" customHeight="1" outlineLevel="1" spans="1:15">
      <c r="A71" s="31">
        <f t="shared" si="21"/>
        <v>3.2</v>
      </c>
      <c r="B71" s="39" t="s">
        <v>231</v>
      </c>
      <c r="C71" s="37" t="s">
        <v>221</v>
      </c>
      <c r="D71" s="38">
        <f>D66</f>
        <v>77.7</v>
      </c>
      <c r="E71" s="35">
        <v>8653.32</v>
      </c>
      <c r="F71" s="35">
        <v>8653.32</v>
      </c>
      <c r="G71" s="35"/>
      <c r="H71" s="35">
        <f t="shared" si="18"/>
        <v>0.87</v>
      </c>
      <c r="I71" s="40">
        <f t="shared" si="19"/>
        <v>111.37</v>
      </c>
      <c r="J71" s="57" t="e">
        <f t="shared" si="20"/>
        <v>#REF!</v>
      </c>
      <c r="K71" s="58"/>
      <c r="L71" s="59"/>
      <c r="M71" s="56"/>
      <c r="N71" s="55"/>
      <c r="O71" s="56"/>
    </row>
    <row r="72" s="2" customFormat="1" ht="30" customHeight="1" outlineLevel="1" spans="1:15">
      <c r="A72" s="31">
        <f t="shared" si="21"/>
        <v>3.3</v>
      </c>
      <c r="B72" s="39" t="s">
        <v>232</v>
      </c>
      <c r="C72" s="37" t="s">
        <v>221</v>
      </c>
      <c r="D72" s="38">
        <f>D66</f>
        <v>77.7</v>
      </c>
      <c r="E72" s="35">
        <v>3904.51</v>
      </c>
      <c r="F72" s="35">
        <v>3904.51</v>
      </c>
      <c r="G72" s="35"/>
      <c r="H72" s="35">
        <f t="shared" si="18"/>
        <v>0.39</v>
      </c>
      <c r="I72" s="40">
        <f t="shared" si="19"/>
        <v>50.25</v>
      </c>
      <c r="J72" s="57" t="e">
        <f t="shared" si="20"/>
        <v>#REF!</v>
      </c>
      <c r="K72" s="58"/>
      <c r="L72" s="59"/>
      <c r="M72" s="56"/>
      <c r="N72" s="55"/>
      <c r="O72" s="56"/>
    </row>
    <row r="73" s="2" customFormat="1" ht="30" customHeight="1" outlineLevel="1" spans="1:15">
      <c r="A73" s="31">
        <f t="shared" si="21"/>
        <v>3.4</v>
      </c>
      <c r="B73" s="32" t="s">
        <v>233</v>
      </c>
      <c r="C73" s="37" t="s">
        <v>221</v>
      </c>
      <c r="D73" s="38">
        <f>D66</f>
        <v>77.7</v>
      </c>
      <c r="E73" s="35">
        <v>6728.66</v>
      </c>
      <c r="F73" s="35">
        <v>6849.6</v>
      </c>
      <c r="G73" s="35"/>
      <c r="H73" s="35">
        <f t="shared" si="18"/>
        <v>0.67</v>
      </c>
      <c r="I73" s="40">
        <f t="shared" si="19"/>
        <v>86.6</v>
      </c>
      <c r="J73" s="57" t="e">
        <f t="shared" si="20"/>
        <v>#REF!</v>
      </c>
      <c r="K73" s="58"/>
      <c r="L73" s="59"/>
      <c r="M73" s="56"/>
      <c r="N73" s="55"/>
      <c r="O73" s="56"/>
    </row>
    <row r="74" s="2" customFormat="1" ht="30" customHeight="1" spans="1:15">
      <c r="A74" s="31" t="s">
        <v>261</v>
      </c>
      <c r="B74" s="32" t="s">
        <v>262</v>
      </c>
      <c r="C74" s="33" t="s">
        <v>221</v>
      </c>
      <c r="D74" s="40">
        <v>200.2</v>
      </c>
      <c r="E74" s="35">
        <f>SUM(E75:E77)</f>
        <v>1550506.65</v>
      </c>
      <c r="F74" s="35"/>
      <c r="G74" s="35"/>
      <c r="H74" s="35">
        <f t="shared" si="18"/>
        <v>155.05</v>
      </c>
      <c r="I74" s="40">
        <f t="shared" si="19"/>
        <v>7744.79</v>
      </c>
      <c r="J74" s="57" t="e">
        <f t="shared" si="20"/>
        <v>#REF!</v>
      </c>
      <c r="K74" s="58"/>
      <c r="L74" s="59">
        <v>200</v>
      </c>
      <c r="M74" s="40">
        <f>SUM(M75:M82)</f>
        <v>111</v>
      </c>
      <c r="N74" s="35">
        <f t="shared" ref="N74:N77" si="22">+M74/L74*10000</f>
        <v>5550</v>
      </c>
      <c r="O74" s="56"/>
    </row>
    <row r="75" s="2" customFormat="1" ht="30" customHeight="1" outlineLevel="1" spans="1:15">
      <c r="A75" s="31">
        <v>1</v>
      </c>
      <c r="B75" s="36" t="s">
        <v>225</v>
      </c>
      <c r="C75" s="37" t="s">
        <v>221</v>
      </c>
      <c r="D75" s="38">
        <f>D74</f>
        <v>200.2</v>
      </c>
      <c r="E75" s="35">
        <v>51934.82</v>
      </c>
      <c r="F75" s="35">
        <v>46748.77</v>
      </c>
      <c r="G75" s="35"/>
      <c r="H75" s="35">
        <f t="shared" si="18"/>
        <v>5.19</v>
      </c>
      <c r="I75" s="40">
        <f t="shared" si="19"/>
        <v>259.41</v>
      </c>
      <c r="J75" s="57" t="e">
        <f t="shared" si="20"/>
        <v>#REF!</v>
      </c>
      <c r="K75" s="58" t="s">
        <v>238</v>
      </c>
      <c r="L75" s="59"/>
      <c r="M75" s="40"/>
      <c r="N75" s="35"/>
      <c r="O75" s="56"/>
    </row>
    <row r="76" s="2" customFormat="1" ht="30" customHeight="1" outlineLevel="1" spans="1:15">
      <c r="A76" s="31">
        <v>2</v>
      </c>
      <c r="B76" s="36" t="s">
        <v>227</v>
      </c>
      <c r="C76" s="37" t="s">
        <v>221</v>
      </c>
      <c r="D76" s="38">
        <f>D74</f>
        <v>200.2</v>
      </c>
      <c r="E76" s="35">
        <v>529123.71</v>
      </c>
      <c r="F76" s="35">
        <v>518752.22</v>
      </c>
      <c r="G76" s="35"/>
      <c r="H76" s="35">
        <f t="shared" si="18"/>
        <v>52.91</v>
      </c>
      <c r="I76" s="40">
        <f t="shared" si="19"/>
        <v>2642.98</v>
      </c>
      <c r="J76" s="57" t="e">
        <f t="shared" si="20"/>
        <v>#REF!</v>
      </c>
      <c r="K76" s="58" t="s">
        <v>228</v>
      </c>
      <c r="L76" s="59">
        <f>+L74</f>
        <v>200</v>
      </c>
      <c r="M76" s="40">
        <v>70</v>
      </c>
      <c r="N76" s="35">
        <f t="shared" si="22"/>
        <v>3500</v>
      </c>
      <c r="O76" s="56"/>
    </row>
    <row r="77" s="2" customFormat="1" ht="30" customHeight="1" outlineLevel="1" spans="1:16">
      <c r="A77" s="31">
        <v>3</v>
      </c>
      <c r="B77" s="36" t="s">
        <v>229</v>
      </c>
      <c r="C77" s="37" t="s">
        <v>221</v>
      </c>
      <c r="D77" s="38">
        <f>D74</f>
        <v>200.2</v>
      </c>
      <c r="E77" s="35">
        <f>SUM(E78:E82)</f>
        <v>969448.12</v>
      </c>
      <c r="F77" s="35"/>
      <c r="G77" s="35"/>
      <c r="H77" s="35">
        <f t="shared" si="18"/>
        <v>96.94</v>
      </c>
      <c r="I77" s="60">
        <f t="shared" si="19"/>
        <v>4842.4</v>
      </c>
      <c r="J77" s="57" t="e">
        <f t="shared" si="20"/>
        <v>#REF!</v>
      </c>
      <c r="K77" s="58"/>
      <c r="L77" s="59">
        <f>+L74</f>
        <v>200</v>
      </c>
      <c r="M77" s="56">
        <v>16</v>
      </c>
      <c r="N77" s="35">
        <f t="shared" si="22"/>
        <v>800</v>
      </c>
      <c r="O77" s="56"/>
      <c r="P77" s="2" t="e">
        <f>+E74+#REF!+E217</f>
        <v>#REF!</v>
      </c>
    </row>
    <row r="78" s="2" customFormat="1" ht="30" customHeight="1" outlineLevel="1" spans="1:15">
      <c r="A78" s="31">
        <f t="shared" ref="A78:A82" si="23">A77+0.1</f>
        <v>3.1</v>
      </c>
      <c r="B78" s="39" t="s">
        <v>230</v>
      </c>
      <c r="C78" s="37" t="s">
        <v>221</v>
      </c>
      <c r="D78" s="38">
        <f>D74</f>
        <v>200.2</v>
      </c>
      <c r="E78" s="35">
        <v>242414.14</v>
      </c>
      <c r="F78" s="35">
        <v>270973.55</v>
      </c>
      <c r="G78" s="35"/>
      <c r="H78" s="35">
        <f t="shared" si="18"/>
        <v>24.24</v>
      </c>
      <c r="I78" s="40">
        <f t="shared" si="19"/>
        <v>1210.86</v>
      </c>
      <c r="J78" s="57" t="e">
        <f t="shared" si="20"/>
        <v>#REF!</v>
      </c>
      <c r="K78" s="58"/>
      <c r="L78" s="59"/>
      <c r="M78" s="56"/>
      <c r="N78" s="55"/>
      <c r="O78" s="56"/>
    </row>
    <row r="79" s="2" customFormat="1" ht="30" customHeight="1" outlineLevel="1" spans="1:15">
      <c r="A79" s="31">
        <f t="shared" si="23"/>
        <v>3.2</v>
      </c>
      <c r="B79" s="39" t="s">
        <v>231</v>
      </c>
      <c r="C79" s="37" t="s">
        <v>221</v>
      </c>
      <c r="D79" s="38">
        <f>D74</f>
        <v>200.2</v>
      </c>
      <c r="E79" s="35">
        <v>25359.2</v>
      </c>
      <c r="F79" s="35">
        <v>25359.2</v>
      </c>
      <c r="G79" s="35"/>
      <c r="H79" s="35">
        <f t="shared" si="18"/>
        <v>2.54</v>
      </c>
      <c r="I79" s="40">
        <f t="shared" si="19"/>
        <v>126.67</v>
      </c>
      <c r="J79" s="57" t="e">
        <f t="shared" si="20"/>
        <v>#REF!</v>
      </c>
      <c r="K79" s="58"/>
      <c r="L79" s="59"/>
      <c r="M79" s="56"/>
      <c r="N79" s="55"/>
      <c r="O79" s="56"/>
    </row>
    <row r="80" s="2" customFormat="1" ht="30" customHeight="1" outlineLevel="1" spans="1:15">
      <c r="A80" s="31">
        <f t="shared" si="23"/>
        <v>3.3</v>
      </c>
      <c r="B80" s="39" t="s">
        <v>232</v>
      </c>
      <c r="C80" s="37" t="s">
        <v>221</v>
      </c>
      <c r="D80" s="38">
        <f>D74</f>
        <v>200.2</v>
      </c>
      <c r="E80" s="35">
        <v>2270.1</v>
      </c>
      <c r="F80" s="35">
        <v>2270.1</v>
      </c>
      <c r="G80" s="35"/>
      <c r="H80" s="35">
        <f t="shared" si="18"/>
        <v>0.23</v>
      </c>
      <c r="I80" s="40">
        <f t="shared" si="19"/>
        <v>11.34</v>
      </c>
      <c r="J80" s="57" t="e">
        <f t="shared" si="20"/>
        <v>#REF!</v>
      </c>
      <c r="K80" s="58"/>
      <c r="L80" s="59"/>
      <c r="M80" s="56"/>
      <c r="N80" s="55"/>
      <c r="O80" s="56"/>
    </row>
    <row r="81" s="2" customFormat="1" ht="30" customHeight="1" outlineLevel="1" spans="1:15">
      <c r="A81" s="31">
        <f t="shared" si="23"/>
        <v>3.4</v>
      </c>
      <c r="B81" s="32" t="s">
        <v>233</v>
      </c>
      <c r="C81" s="37" t="s">
        <v>221</v>
      </c>
      <c r="D81" s="38">
        <f>D74</f>
        <v>200.2</v>
      </c>
      <c r="E81" s="35">
        <v>2520.77</v>
      </c>
      <c r="F81" s="35">
        <v>2520.77</v>
      </c>
      <c r="G81" s="35"/>
      <c r="H81" s="35">
        <f t="shared" si="18"/>
        <v>0.25</v>
      </c>
      <c r="I81" s="40">
        <f t="shared" si="19"/>
        <v>12.59</v>
      </c>
      <c r="J81" s="57" t="e">
        <f t="shared" si="20"/>
        <v>#REF!</v>
      </c>
      <c r="K81" s="58"/>
      <c r="L81" s="59"/>
      <c r="M81" s="56"/>
      <c r="N81" s="55"/>
      <c r="O81" s="56"/>
    </row>
    <row r="82" s="2" customFormat="1" ht="30" customHeight="1" outlineLevel="1" spans="1:15">
      <c r="A82" s="31">
        <f t="shared" si="23"/>
        <v>3.5</v>
      </c>
      <c r="B82" s="39" t="s">
        <v>263</v>
      </c>
      <c r="C82" s="37" t="s">
        <v>221</v>
      </c>
      <c r="D82" s="38">
        <f>D74</f>
        <v>200.2</v>
      </c>
      <c r="E82" s="35">
        <v>696883.91</v>
      </c>
      <c r="F82" s="35">
        <v>696883.91</v>
      </c>
      <c r="G82" s="35"/>
      <c r="H82" s="35">
        <f t="shared" si="18"/>
        <v>69.69</v>
      </c>
      <c r="I82" s="40">
        <f t="shared" si="19"/>
        <v>3480.94</v>
      </c>
      <c r="J82" s="57" t="e">
        <f t="shared" si="20"/>
        <v>#REF!</v>
      </c>
      <c r="K82" s="58"/>
      <c r="L82" s="59">
        <f>+L74</f>
        <v>200</v>
      </c>
      <c r="M82" s="56">
        <v>25</v>
      </c>
      <c r="N82" s="35">
        <f>+M82/L82*10000</f>
        <v>1250</v>
      </c>
      <c r="O82" s="56"/>
    </row>
    <row r="83" s="2" customFormat="1" ht="30" customHeight="1" spans="1:15">
      <c r="A83" s="31" t="s">
        <v>264</v>
      </c>
      <c r="B83" s="32" t="s">
        <v>265</v>
      </c>
      <c r="C83" s="33" t="s">
        <v>221</v>
      </c>
      <c r="D83" s="40">
        <v>83.64</v>
      </c>
      <c r="E83" s="35">
        <f>SUM(E84:E86)</f>
        <v>427949.33</v>
      </c>
      <c r="F83" s="35"/>
      <c r="G83" s="35"/>
      <c r="H83" s="35">
        <f t="shared" si="18"/>
        <v>42.79</v>
      </c>
      <c r="I83" s="40">
        <f t="shared" si="19"/>
        <v>5116.56</v>
      </c>
      <c r="J83" s="57" t="e">
        <f t="shared" si="20"/>
        <v>#REF!</v>
      </c>
      <c r="K83" s="58"/>
      <c r="L83" s="59"/>
      <c r="M83" s="40"/>
      <c r="N83" s="35"/>
      <c r="O83" s="56"/>
    </row>
    <row r="84" s="2" customFormat="1" ht="30" customHeight="1" outlineLevel="1" spans="1:15">
      <c r="A84" s="31">
        <v>1</v>
      </c>
      <c r="B84" s="36" t="s">
        <v>225</v>
      </c>
      <c r="C84" s="37" t="s">
        <v>221</v>
      </c>
      <c r="D84" s="38">
        <f>D83</f>
        <v>83.64</v>
      </c>
      <c r="E84" s="35">
        <v>36680.73</v>
      </c>
      <c r="F84" s="35">
        <v>33223.39</v>
      </c>
      <c r="G84" s="35"/>
      <c r="H84" s="35">
        <f t="shared" si="18"/>
        <v>3.67</v>
      </c>
      <c r="I84" s="40">
        <f t="shared" si="19"/>
        <v>438.55</v>
      </c>
      <c r="J84" s="57" t="e">
        <f t="shared" si="20"/>
        <v>#REF!</v>
      </c>
      <c r="K84" s="58"/>
      <c r="L84" s="59"/>
      <c r="M84" s="40"/>
      <c r="N84" s="35"/>
      <c r="O84" s="56"/>
    </row>
    <row r="85" s="2" customFormat="1" ht="30" customHeight="1" outlineLevel="1" spans="1:15">
      <c r="A85" s="31">
        <v>2</v>
      </c>
      <c r="B85" s="36" t="s">
        <v>227</v>
      </c>
      <c r="C85" s="37" t="s">
        <v>221</v>
      </c>
      <c r="D85" s="38">
        <f>D83</f>
        <v>83.64</v>
      </c>
      <c r="E85" s="35">
        <v>282423.57</v>
      </c>
      <c r="F85" s="35">
        <v>280197.41</v>
      </c>
      <c r="G85" s="35"/>
      <c r="H85" s="35">
        <f t="shared" si="18"/>
        <v>28.24</v>
      </c>
      <c r="I85" s="40">
        <f t="shared" si="19"/>
        <v>3376.66</v>
      </c>
      <c r="J85" s="57" t="e">
        <f t="shared" si="20"/>
        <v>#REF!</v>
      </c>
      <c r="K85" s="58"/>
      <c r="L85" s="59"/>
      <c r="M85" s="40"/>
      <c r="N85" s="35"/>
      <c r="O85" s="56"/>
    </row>
    <row r="86" s="2" customFormat="1" ht="30" customHeight="1" outlineLevel="1" spans="1:16">
      <c r="A86" s="31">
        <v>3</v>
      </c>
      <c r="B86" s="36" t="s">
        <v>229</v>
      </c>
      <c r="C86" s="37" t="s">
        <v>221</v>
      </c>
      <c r="D86" s="38">
        <f>D83</f>
        <v>83.64</v>
      </c>
      <c r="E86" s="35">
        <f>SUM(E87:E90)</f>
        <v>108845.03</v>
      </c>
      <c r="F86" s="35"/>
      <c r="G86" s="35"/>
      <c r="H86" s="35">
        <f t="shared" si="18"/>
        <v>10.88</v>
      </c>
      <c r="I86" s="60">
        <f t="shared" si="19"/>
        <v>1301.35</v>
      </c>
      <c r="J86" s="57" t="e">
        <f t="shared" si="20"/>
        <v>#REF!</v>
      </c>
      <c r="K86" s="58"/>
      <c r="L86" s="59"/>
      <c r="M86" s="56"/>
      <c r="N86" s="55"/>
      <c r="O86" s="56"/>
      <c r="P86" s="2" t="e">
        <f>+E83+#REF!+E226</f>
        <v>#REF!</v>
      </c>
    </row>
    <row r="87" s="2" customFormat="1" ht="30" customHeight="1" outlineLevel="1" spans="1:15">
      <c r="A87" s="31">
        <f t="shared" ref="A87:A90" si="24">A86+0.1</f>
        <v>3.1</v>
      </c>
      <c r="B87" s="39" t="s">
        <v>230</v>
      </c>
      <c r="C87" s="37" t="s">
        <v>221</v>
      </c>
      <c r="D87" s="38">
        <f>D83</f>
        <v>83.64</v>
      </c>
      <c r="E87" s="35">
        <v>75114.23</v>
      </c>
      <c r="F87" s="35">
        <v>85678.25</v>
      </c>
      <c r="G87" s="35"/>
      <c r="H87" s="35">
        <f t="shared" si="18"/>
        <v>7.51</v>
      </c>
      <c r="I87" s="40">
        <f t="shared" si="19"/>
        <v>898.07</v>
      </c>
      <c r="J87" s="57" t="e">
        <f t="shared" si="20"/>
        <v>#REF!</v>
      </c>
      <c r="K87" s="58"/>
      <c r="L87" s="59"/>
      <c r="M87" s="56"/>
      <c r="N87" s="55"/>
      <c r="O87" s="56"/>
    </row>
    <row r="88" s="2" customFormat="1" ht="30" customHeight="1" outlineLevel="1" spans="1:15">
      <c r="A88" s="31">
        <f t="shared" si="24"/>
        <v>3.2</v>
      </c>
      <c r="B88" s="39" t="s">
        <v>231</v>
      </c>
      <c r="C88" s="37" t="s">
        <v>221</v>
      </c>
      <c r="D88" s="38">
        <f>D83</f>
        <v>83.64</v>
      </c>
      <c r="E88" s="35">
        <v>28846.58</v>
      </c>
      <c r="F88" s="35">
        <v>28846.58</v>
      </c>
      <c r="G88" s="35"/>
      <c r="H88" s="35">
        <f t="shared" si="18"/>
        <v>2.88</v>
      </c>
      <c r="I88" s="40">
        <f t="shared" si="19"/>
        <v>344.89</v>
      </c>
      <c r="J88" s="57" t="e">
        <f t="shared" si="20"/>
        <v>#REF!</v>
      </c>
      <c r="K88" s="58"/>
      <c r="L88" s="59"/>
      <c r="M88" s="56"/>
      <c r="N88" s="55"/>
      <c r="O88" s="56"/>
    </row>
    <row r="89" s="2" customFormat="1" ht="30" customHeight="1" outlineLevel="1" spans="1:15">
      <c r="A89" s="31">
        <f t="shared" si="24"/>
        <v>3.3</v>
      </c>
      <c r="B89" s="39" t="s">
        <v>232</v>
      </c>
      <c r="C89" s="37" t="s">
        <v>221</v>
      </c>
      <c r="D89" s="38">
        <f>D83</f>
        <v>83.64</v>
      </c>
      <c r="E89" s="35">
        <v>2311.08</v>
      </c>
      <c r="F89" s="35">
        <v>2311.08</v>
      </c>
      <c r="G89" s="35"/>
      <c r="H89" s="35">
        <f t="shared" si="18"/>
        <v>0.23</v>
      </c>
      <c r="I89" s="40">
        <f t="shared" si="19"/>
        <v>27.63</v>
      </c>
      <c r="J89" s="57" t="e">
        <f t="shared" si="20"/>
        <v>#REF!</v>
      </c>
      <c r="K89" s="58"/>
      <c r="L89" s="59"/>
      <c r="M89" s="56"/>
      <c r="N89" s="55"/>
      <c r="O89" s="56"/>
    </row>
    <row r="90" s="2" customFormat="1" ht="30" customHeight="1" outlineLevel="1" spans="1:15">
      <c r="A90" s="31">
        <f t="shared" si="24"/>
        <v>3.4</v>
      </c>
      <c r="B90" s="32" t="s">
        <v>233</v>
      </c>
      <c r="C90" s="37" t="s">
        <v>221</v>
      </c>
      <c r="D90" s="38">
        <f>D83</f>
        <v>83.64</v>
      </c>
      <c r="E90" s="35">
        <v>2573.14</v>
      </c>
      <c r="F90" s="35">
        <v>2573.14</v>
      </c>
      <c r="G90" s="35"/>
      <c r="H90" s="35">
        <f t="shared" si="18"/>
        <v>0.26</v>
      </c>
      <c r="I90" s="40">
        <f t="shared" si="19"/>
        <v>30.76</v>
      </c>
      <c r="J90" s="57" t="e">
        <f t="shared" si="20"/>
        <v>#REF!</v>
      </c>
      <c r="K90" s="58"/>
      <c r="L90" s="59"/>
      <c r="M90" s="56"/>
      <c r="N90" s="55"/>
      <c r="O90" s="56"/>
    </row>
    <row r="91" s="2" customFormat="1" ht="30" customHeight="1" spans="1:15">
      <c r="A91" s="31" t="s">
        <v>266</v>
      </c>
      <c r="B91" s="32" t="s">
        <v>267</v>
      </c>
      <c r="C91" s="33" t="s">
        <v>221</v>
      </c>
      <c r="D91" s="40">
        <v>1002</v>
      </c>
      <c r="E91" s="35">
        <f>SUM(E92:E94)</f>
        <v>1953274.4</v>
      </c>
      <c r="F91" s="35"/>
      <c r="G91" s="35"/>
      <c r="H91" s="35">
        <f t="shared" si="18"/>
        <v>195.33</v>
      </c>
      <c r="I91" s="40">
        <f t="shared" si="19"/>
        <v>1949.38</v>
      </c>
      <c r="J91" s="57" t="e">
        <f t="shared" si="20"/>
        <v>#REF!</v>
      </c>
      <c r="K91" s="58"/>
      <c r="L91" s="59">
        <v>1000</v>
      </c>
      <c r="M91" s="40">
        <f>SUM(M92:M94)</f>
        <v>343.5</v>
      </c>
      <c r="N91" s="35">
        <f t="shared" ref="N91:N98" si="25">+M91/L91*10000</f>
        <v>3435</v>
      </c>
      <c r="O91" s="56"/>
    </row>
    <row r="92" s="2" customFormat="1" ht="30" customHeight="1" outlineLevel="1" spans="1:15">
      <c r="A92" s="31">
        <v>1</v>
      </c>
      <c r="B92" s="36" t="s">
        <v>225</v>
      </c>
      <c r="C92" s="37" t="s">
        <v>221</v>
      </c>
      <c r="D92" s="38">
        <f>D91</f>
        <v>1002</v>
      </c>
      <c r="E92" s="35">
        <v>259272.95</v>
      </c>
      <c r="F92" s="35">
        <v>235071.41</v>
      </c>
      <c r="G92" s="35"/>
      <c r="H92" s="35">
        <f t="shared" si="18"/>
        <v>25.93</v>
      </c>
      <c r="I92" s="40">
        <f t="shared" si="19"/>
        <v>258.76</v>
      </c>
      <c r="J92" s="57" t="e">
        <f t="shared" si="20"/>
        <v>#REF!</v>
      </c>
      <c r="K92" s="58" t="s">
        <v>238</v>
      </c>
      <c r="L92" s="59"/>
      <c r="M92" s="40"/>
      <c r="N92" s="35"/>
      <c r="O92" s="56"/>
    </row>
    <row r="93" s="2" customFormat="1" ht="30" customHeight="1" outlineLevel="1" spans="1:15">
      <c r="A93" s="31">
        <v>2</v>
      </c>
      <c r="B93" s="36" t="s">
        <v>227</v>
      </c>
      <c r="C93" s="37" t="s">
        <v>221</v>
      </c>
      <c r="D93" s="38">
        <f>D91</f>
        <v>1002</v>
      </c>
      <c r="E93" s="35">
        <v>1618242.56</v>
      </c>
      <c r="F93" s="35">
        <v>1618242.56</v>
      </c>
      <c r="G93" s="35"/>
      <c r="H93" s="35">
        <f t="shared" si="18"/>
        <v>161.82</v>
      </c>
      <c r="I93" s="40">
        <f t="shared" si="19"/>
        <v>1615.01</v>
      </c>
      <c r="J93" s="57" t="e">
        <f t="shared" si="20"/>
        <v>#REF!</v>
      </c>
      <c r="K93" s="58" t="s">
        <v>268</v>
      </c>
      <c r="L93" s="59">
        <f>+L91</f>
        <v>1000</v>
      </c>
      <c r="M93" s="40">
        <v>330</v>
      </c>
      <c r="N93" s="35">
        <f t="shared" si="25"/>
        <v>3300</v>
      </c>
      <c r="O93" s="56"/>
    </row>
    <row r="94" s="2" customFormat="1" ht="30" customHeight="1" outlineLevel="1" spans="1:15">
      <c r="A94" s="31">
        <v>3</v>
      </c>
      <c r="B94" s="36" t="s">
        <v>269</v>
      </c>
      <c r="C94" s="37" t="s">
        <v>221</v>
      </c>
      <c r="D94" s="38">
        <f>D92</f>
        <v>1002</v>
      </c>
      <c r="E94" s="35">
        <v>75758.89</v>
      </c>
      <c r="F94" s="35">
        <v>81685.64</v>
      </c>
      <c r="G94" s="35"/>
      <c r="H94" s="35">
        <f t="shared" si="18"/>
        <v>7.58</v>
      </c>
      <c r="I94" s="40">
        <f t="shared" si="19"/>
        <v>75.61</v>
      </c>
      <c r="J94" s="57" t="e">
        <f t="shared" si="20"/>
        <v>#REF!</v>
      </c>
      <c r="K94" s="58"/>
      <c r="L94" s="59">
        <f>+L91</f>
        <v>1000</v>
      </c>
      <c r="M94" s="40">
        <f>10+3+0.5</f>
        <v>13.5</v>
      </c>
      <c r="N94" s="35">
        <f t="shared" si="25"/>
        <v>135</v>
      </c>
      <c r="O94" s="56"/>
    </row>
    <row r="95" s="2" customFormat="1" ht="30" customHeight="1" spans="1:15">
      <c r="A95" s="31" t="s">
        <v>270</v>
      </c>
      <c r="B95" s="36" t="s">
        <v>271</v>
      </c>
      <c r="C95" s="37" t="s">
        <v>221</v>
      </c>
      <c r="D95" s="38">
        <f>204431.95-9893.84</f>
        <v>194538.11</v>
      </c>
      <c r="E95" s="35">
        <f>SUM(E96:E106)</f>
        <v>75425148.12</v>
      </c>
      <c r="F95" s="35"/>
      <c r="G95" s="35"/>
      <c r="H95" s="35">
        <f t="shared" si="18"/>
        <v>7542.51</v>
      </c>
      <c r="I95" s="60">
        <f t="shared" si="19"/>
        <v>387.71</v>
      </c>
      <c r="J95" s="57" t="e">
        <f t="shared" si="20"/>
        <v>#REF!</v>
      </c>
      <c r="K95" s="58"/>
      <c r="L95" s="59">
        <f>+L96+L97</f>
        <v>156886.32</v>
      </c>
      <c r="M95" s="56">
        <f>SUM(M96:M106)</f>
        <v>11302.57</v>
      </c>
      <c r="N95" s="35">
        <f t="shared" si="25"/>
        <v>720.43</v>
      </c>
      <c r="O95" s="56"/>
    </row>
    <row r="96" s="2" customFormat="1" ht="30" customHeight="1" outlineLevel="1" spans="1:15">
      <c r="A96" s="31">
        <v>1</v>
      </c>
      <c r="B96" s="39" t="s">
        <v>272</v>
      </c>
      <c r="C96" s="37" t="s">
        <v>221</v>
      </c>
      <c r="D96" s="38">
        <f>+D95-D97</f>
        <v>119475.89</v>
      </c>
      <c r="E96" s="35">
        <v>47628218.1</v>
      </c>
      <c r="F96" s="35">
        <v>46949453.59</v>
      </c>
      <c r="G96" s="35"/>
      <c r="H96" s="35">
        <f t="shared" si="18"/>
        <v>4762.82</v>
      </c>
      <c r="I96" s="60">
        <f t="shared" si="19"/>
        <v>398.64</v>
      </c>
      <c r="J96" s="57" t="e">
        <f t="shared" si="20"/>
        <v>#REF!</v>
      </c>
      <c r="K96" s="58" t="s">
        <v>273</v>
      </c>
      <c r="L96" s="59">
        <v>72190.16</v>
      </c>
      <c r="M96" s="56">
        <v>5920.26</v>
      </c>
      <c r="N96" s="35">
        <f t="shared" si="25"/>
        <v>820.09</v>
      </c>
      <c r="O96" s="56" t="s">
        <v>274</v>
      </c>
    </row>
    <row r="97" s="2" customFormat="1" ht="30" customHeight="1" outlineLevel="1" spans="1:15">
      <c r="A97" s="31">
        <v>2</v>
      </c>
      <c r="B97" s="39" t="s">
        <v>275</v>
      </c>
      <c r="C97" s="37" t="s">
        <v>221</v>
      </c>
      <c r="D97" s="38">
        <f>44051.22+31011</f>
        <v>75062.22</v>
      </c>
      <c r="E97" s="35">
        <v>6526231.9</v>
      </c>
      <c r="F97" s="35">
        <v>6506353.14</v>
      </c>
      <c r="G97" s="35"/>
      <c r="H97" s="35">
        <f t="shared" si="18"/>
        <v>652.62</v>
      </c>
      <c r="I97" s="60">
        <f t="shared" si="19"/>
        <v>86.94</v>
      </c>
      <c r="J97" s="57" t="e">
        <f t="shared" si="20"/>
        <v>#REF!</v>
      </c>
      <c r="K97" s="58"/>
      <c r="L97" s="59">
        <v>84696.16</v>
      </c>
      <c r="M97" s="56">
        <f>423.48+254.09</f>
        <v>677.57</v>
      </c>
      <c r="N97" s="35">
        <f t="shared" si="25"/>
        <v>80</v>
      </c>
      <c r="O97" s="56" t="s">
        <v>276</v>
      </c>
    </row>
    <row r="98" s="2" customFormat="1" ht="30" customHeight="1" outlineLevel="1" spans="1:15">
      <c r="A98" s="31">
        <v>3</v>
      </c>
      <c r="B98" s="39" t="s">
        <v>277</v>
      </c>
      <c r="C98" s="37" t="s">
        <v>221</v>
      </c>
      <c r="D98" s="38">
        <f>+D96</f>
        <v>119475.89</v>
      </c>
      <c r="E98" s="35">
        <v>1298676.19</v>
      </c>
      <c r="F98" s="35">
        <v>1230265.1</v>
      </c>
      <c r="G98" s="35"/>
      <c r="H98" s="35">
        <f t="shared" si="18"/>
        <v>129.87</v>
      </c>
      <c r="I98" s="60">
        <f t="shared" si="19"/>
        <v>10.87</v>
      </c>
      <c r="J98" s="57" t="e">
        <f t="shared" si="20"/>
        <v>#REF!</v>
      </c>
      <c r="K98" s="58"/>
      <c r="L98" s="59">
        <v>155750.6</v>
      </c>
      <c r="M98" s="56">
        <v>2336.26</v>
      </c>
      <c r="N98" s="35">
        <f t="shared" si="25"/>
        <v>150</v>
      </c>
      <c r="O98" s="56"/>
    </row>
    <row r="99" s="2" customFormat="1" ht="30" customHeight="1" outlineLevel="1" spans="1:15">
      <c r="A99" s="31">
        <v>7</v>
      </c>
      <c r="B99" s="39" t="s">
        <v>278</v>
      </c>
      <c r="C99" s="37" t="s">
        <v>221</v>
      </c>
      <c r="D99" s="38">
        <f>+D96</f>
        <v>119475.89</v>
      </c>
      <c r="E99" s="35">
        <v>853687.35</v>
      </c>
      <c r="F99" s="35">
        <v>876619.38</v>
      </c>
      <c r="G99" s="35"/>
      <c r="H99" s="35">
        <f t="shared" si="18"/>
        <v>85.37</v>
      </c>
      <c r="I99" s="60">
        <f t="shared" si="19"/>
        <v>7.15</v>
      </c>
      <c r="J99" s="57" t="e">
        <f t="shared" si="20"/>
        <v>#REF!</v>
      </c>
      <c r="K99" s="58"/>
      <c r="L99" s="59"/>
      <c r="M99" s="56"/>
      <c r="N99" s="55"/>
      <c r="O99" s="56"/>
    </row>
    <row r="100" s="2" customFormat="1" ht="30" customHeight="1" outlineLevel="1" spans="1:15">
      <c r="A100" s="31">
        <v>5</v>
      </c>
      <c r="B100" s="39" t="s">
        <v>279</v>
      </c>
      <c r="C100" s="37" t="s">
        <v>221</v>
      </c>
      <c r="D100" s="38">
        <f>+D96</f>
        <v>119475.89</v>
      </c>
      <c r="E100" s="35">
        <v>125601.79</v>
      </c>
      <c r="F100" s="35">
        <v>125601.79</v>
      </c>
      <c r="G100" s="35"/>
      <c r="H100" s="35">
        <f t="shared" si="18"/>
        <v>12.56</v>
      </c>
      <c r="I100" s="60">
        <f t="shared" si="19"/>
        <v>1.05</v>
      </c>
      <c r="J100" s="57" t="e">
        <f t="shared" si="20"/>
        <v>#REF!</v>
      </c>
      <c r="K100" s="58"/>
      <c r="L100" s="59"/>
      <c r="M100" s="56"/>
      <c r="N100" s="55"/>
      <c r="O100" s="56"/>
    </row>
    <row r="101" s="2" customFormat="1" ht="30" customHeight="1" outlineLevel="1" spans="1:15">
      <c r="A101" s="31">
        <v>4</v>
      </c>
      <c r="B101" s="39" t="s">
        <v>280</v>
      </c>
      <c r="C101" s="37" t="s">
        <v>221</v>
      </c>
      <c r="D101" s="38">
        <f>+D96</f>
        <v>119475.89</v>
      </c>
      <c r="E101" s="35">
        <v>5442190.07</v>
      </c>
      <c r="F101" s="35">
        <v>4789803.67</v>
      </c>
      <c r="G101" s="35"/>
      <c r="H101" s="35">
        <f t="shared" si="18"/>
        <v>544.22</v>
      </c>
      <c r="I101" s="60">
        <f t="shared" si="19"/>
        <v>45.55</v>
      </c>
      <c r="J101" s="57" t="e">
        <f t="shared" si="20"/>
        <v>#REF!</v>
      </c>
      <c r="K101" s="58"/>
      <c r="L101" s="59">
        <f>+L98</f>
        <v>155750.6</v>
      </c>
      <c r="M101" s="56">
        <v>1557.51</v>
      </c>
      <c r="N101" s="35">
        <f t="shared" ref="N101:N103" si="26">+M101/L101*10000</f>
        <v>100</v>
      </c>
      <c r="O101" s="56" t="s">
        <v>281</v>
      </c>
    </row>
    <row r="102" s="2" customFormat="1" ht="30" customHeight="1" outlineLevel="1" spans="1:15">
      <c r="A102" s="31">
        <v>6</v>
      </c>
      <c r="B102" s="39" t="s">
        <v>282</v>
      </c>
      <c r="C102" s="37" t="s">
        <v>221</v>
      </c>
      <c r="D102" s="38">
        <f>+D96</f>
        <v>119475.89</v>
      </c>
      <c r="E102" s="35">
        <v>585440.08</v>
      </c>
      <c r="F102" s="35">
        <v>950783.16</v>
      </c>
      <c r="G102" s="35"/>
      <c r="H102" s="35">
        <f t="shared" si="18"/>
        <v>58.54</v>
      </c>
      <c r="I102" s="60">
        <f t="shared" si="19"/>
        <v>4.9</v>
      </c>
      <c r="J102" s="57" t="e">
        <f t="shared" si="20"/>
        <v>#REF!</v>
      </c>
      <c r="K102" s="58" t="s">
        <v>283</v>
      </c>
      <c r="L102" s="59">
        <f>+L98</f>
        <v>155750.6</v>
      </c>
      <c r="M102" s="56">
        <v>467.25</v>
      </c>
      <c r="N102" s="35">
        <f t="shared" si="26"/>
        <v>30</v>
      </c>
      <c r="O102" s="56"/>
    </row>
    <row r="103" s="2" customFormat="1" ht="30" customHeight="1" outlineLevel="1" spans="1:15">
      <c r="A103" s="31">
        <v>9</v>
      </c>
      <c r="B103" s="39" t="s">
        <v>284</v>
      </c>
      <c r="C103" s="37" t="s">
        <v>221</v>
      </c>
      <c r="D103" s="38">
        <f>+D95</f>
        <v>194538.11</v>
      </c>
      <c r="E103" s="35">
        <v>5491308.14</v>
      </c>
      <c r="F103" s="35">
        <v>5925294.73</v>
      </c>
      <c r="G103" s="35"/>
      <c r="H103" s="35">
        <f t="shared" si="18"/>
        <v>549.13</v>
      </c>
      <c r="I103" s="60">
        <f t="shared" si="19"/>
        <v>28.23</v>
      </c>
      <c r="J103" s="57" t="e">
        <f t="shared" si="20"/>
        <v>#REF!</v>
      </c>
      <c r="K103" s="58"/>
      <c r="L103" s="59">
        <v>114573.44</v>
      </c>
      <c r="M103" s="56">
        <v>343.72</v>
      </c>
      <c r="N103" s="35">
        <f t="shared" si="26"/>
        <v>30</v>
      </c>
      <c r="O103" s="56"/>
    </row>
    <row r="104" s="2" customFormat="1" ht="30" customHeight="1" outlineLevel="1" spans="1:15">
      <c r="A104" s="31">
        <v>8</v>
      </c>
      <c r="B104" s="39" t="s">
        <v>285</v>
      </c>
      <c r="C104" s="37" t="s">
        <v>221</v>
      </c>
      <c r="D104" s="38">
        <f>D95-D97</f>
        <v>119475.89</v>
      </c>
      <c r="E104" s="35">
        <f>+I104*D104</f>
        <v>5973794.5</v>
      </c>
      <c r="F104" s="62"/>
      <c r="G104" s="35"/>
      <c r="H104" s="35">
        <f t="shared" si="18"/>
        <v>597.38</v>
      </c>
      <c r="I104" s="60">
        <v>50</v>
      </c>
      <c r="J104" s="57" t="e">
        <f t="shared" si="20"/>
        <v>#REF!</v>
      </c>
      <c r="K104" s="58" t="s">
        <v>286</v>
      </c>
      <c r="L104" s="59"/>
      <c r="M104" s="56"/>
      <c r="N104" s="55"/>
      <c r="O104" s="56"/>
    </row>
    <row r="105" s="2" customFormat="1" ht="30" customHeight="1" outlineLevel="1" spans="1:15">
      <c r="A105" s="31">
        <v>10</v>
      </c>
      <c r="B105" s="39" t="s">
        <v>287</v>
      </c>
      <c r="C105" s="37" t="s">
        <v>288</v>
      </c>
      <c r="D105" s="38">
        <v>1</v>
      </c>
      <c r="E105" s="35">
        <v>1000000</v>
      </c>
      <c r="F105" s="62"/>
      <c r="G105" s="35"/>
      <c r="H105" s="35">
        <f t="shared" si="18"/>
        <v>100</v>
      </c>
      <c r="I105" s="60"/>
      <c r="J105" s="57"/>
      <c r="K105" s="58"/>
      <c r="L105" s="59"/>
      <c r="M105" s="56"/>
      <c r="N105" s="55"/>
      <c r="O105" s="56"/>
    </row>
    <row r="106" s="2" customFormat="1" ht="30" customHeight="1" outlineLevel="1" spans="1:15">
      <c r="A106" s="31">
        <v>11</v>
      </c>
      <c r="B106" s="39" t="s">
        <v>289</v>
      </c>
      <c r="C106" s="37" t="s">
        <v>288</v>
      </c>
      <c r="D106" s="38">
        <v>1</v>
      </c>
      <c r="E106" s="35">
        <v>500000</v>
      </c>
      <c r="F106" s="62"/>
      <c r="G106" s="35"/>
      <c r="H106" s="35">
        <f t="shared" si="18"/>
        <v>50</v>
      </c>
      <c r="I106" s="60"/>
      <c r="J106" s="57"/>
      <c r="K106" s="58"/>
      <c r="L106" s="59"/>
      <c r="M106" s="56"/>
      <c r="N106" s="55"/>
      <c r="O106" s="56"/>
    </row>
    <row r="107" s="2" customFormat="1" ht="30" customHeight="1" spans="1:15">
      <c r="A107" s="31" t="s">
        <v>290</v>
      </c>
      <c r="B107" s="39" t="s">
        <v>291</v>
      </c>
      <c r="C107" s="37" t="s">
        <v>221</v>
      </c>
      <c r="D107" s="38">
        <f>4658.49+7462.3+1953.24</f>
        <v>14074.03</v>
      </c>
      <c r="E107" s="35">
        <f>SUM(E108:E114)</f>
        <v>9699536.01</v>
      </c>
      <c r="F107" s="35"/>
      <c r="G107" s="35"/>
      <c r="H107" s="35">
        <f t="shared" si="18"/>
        <v>969.95</v>
      </c>
      <c r="I107" s="60">
        <f t="shared" ref="I107:I115" si="27">E107/D107</f>
        <v>689.18</v>
      </c>
      <c r="J107" s="57" t="e">
        <f t="shared" ref="J107:J159" si="28">E107/$E$174</f>
        <v>#REF!</v>
      </c>
      <c r="K107" s="58"/>
      <c r="L107" s="59">
        <f>+L108+L113</f>
        <v>10420.53</v>
      </c>
      <c r="M107" s="56">
        <f>SUM(M108:M114)</f>
        <v>1861.46</v>
      </c>
      <c r="N107" s="55">
        <f t="shared" ref="N107:N114" si="29">+M107/L107*10000</f>
        <v>1786.34</v>
      </c>
      <c r="O107" s="56"/>
    </row>
    <row r="108" s="2" customFormat="1" ht="30" customHeight="1" outlineLevel="1" spans="1:15">
      <c r="A108" s="31">
        <v>1</v>
      </c>
      <c r="B108" s="39" t="s">
        <v>292</v>
      </c>
      <c r="C108" s="37" t="s">
        <v>221</v>
      </c>
      <c r="D108" s="38">
        <f>+D107</f>
        <v>14074.03</v>
      </c>
      <c r="E108" s="35">
        <v>5099174.77</v>
      </c>
      <c r="F108" s="35">
        <v>4983542.09</v>
      </c>
      <c r="G108" s="35"/>
      <c r="H108" s="35">
        <f t="shared" si="18"/>
        <v>509.92</v>
      </c>
      <c r="I108" s="60">
        <f t="shared" si="27"/>
        <v>362.31</v>
      </c>
      <c r="J108" s="57" t="e">
        <f t="shared" si="28"/>
        <v>#REF!</v>
      </c>
      <c r="K108" s="58"/>
      <c r="L108" s="59">
        <v>9025.93</v>
      </c>
      <c r="M108" s="56">
        <f>397.14+131.3+660.66+19.86</f>
        <v>1208.96</v>
      </c>
      <c r="N108" s="55">
        <f t="shared" si="29"/>
        <v>1339.43</v>
      </c>
      <c r="O108" s="56" t="s">
        <v>293</v>
      </c>
    </row>
    <row r="109" s="2" customFormat="1" ht="30" customHeight="1" outlineLevel="1" spans="1:15">
      <c r="A109" s="31">
        <v>2</v>
      </c>
      <c r="B109" s="39" t="s">
        <v>294</v>
      </c>
      <c r="C109" s="37" t="s">
        <v>221</v>
      </c>
      <c r="D109" s="38">
        <f>+D107</f>
        <v>14074.03</v>
      </c>
      <c r="E109" s="35">
        <v>1140121.22</v>
      </c>
      <c r="F109" s="35">
        <v>1170742.92</v>
      </c>
      <c r="G109" s="35"/>
      <c r="H109" s="35">
        <f t="shared" si="18"/>
        <v>114.01</v>
      </c>
      <c r="I109" s="60">
        <f t="shared" si="27"/>
        <v>81.01</v>
      </c>
      <c r="J109" s="57" t="e">
        <f t="shared" si="28"/>
        <v>#REF!</v>
      </c>
      <c r="K109" s="58"/>
      <c r="L109" s="59">
        <f>+L108</f>
        <v>9025.93</v>
      </c>
      <c r="M109" s="56">
        <v>315.91</v>
      </c>
      <c r="N109" s="55">
        <f t="shared" si="29"/>
        <v>350</v>
      </c>
      <c r="O109" s="56"/>
    </row>
    <row r="110" s="2" customFormat="1" ht="30" customHeight="1" outlineLevel="1" spans="1:15">
      <c r="A110" s="31">
        <v>3</v>
      </c>
      <c r="B110" s="39" t="s">
        <v>295</v>
      </c>
      <c r="C110" s="37" t="s">
        <v>221</v>
      </c>
      <c r="D110" s="38">
        <f>+D107</f>
        <v>14074.03</v>
      </c>
      <c r="E110" s="35">
        <v>1255342.61</v>
      </c>
      <c r="F110" s="35">
        <v>1272885.34</v>
      </c>
      <c r="G110" s="35"/>
      <c r="H110" s="35">
        <f t="shared" si="18"/>
        <v>125.53</v>
      </c>
      <c r="I110" s="60">
        <f t="shared" si="27"/>
        <v>89.2</v>
      </c>
      <c r="J110" s="57" t="e">
        <f t="shared" si="28"/>
        <v>#REF!</v>
      </c>
      <c r="K110" s="58"/>
      <c r="L110" s="59">
        <f>+L108</f>
        <v>9025.93</v>
      </c>
      <c r="M110" s="56">
        <f>208.5+19.86</f>
        <v>228.36</v>
      </c>
      <c r="N110" s="55">
        <f t="shared" si="29"/>
        <v>253</v>
      </c>
      <c r="O110" s="56" t="s">
        <v>296</v>
      </c>
    </row>
    <row r="111" s="2" customFormat="1" ht="30" customHeight="1" outlineLevel="1" spans="1:15">
      <c r="A111" s="31">
        <v>4</v>
      </c>
      <c r="B111" s="39" t="s">
        <v>297</v>
      </c>
      <c r="C111" s="37" t="s">
        <v>221</v>
      </c>
      <c r="D111" s="38">
        <f>+D107</f>
        <v>14074.03</v>
      </c>
      <c r="E111" s="35">
        <v>584066.64</v>
      </c>
      <c r="F111" s="35">
        <v>650843.25</v>
      </c>
      <c r="G111" s="35"/>
      <c r="H111" s="35">
        <f t="shared" si="18"/>
        <v>58.41</v>
      </c>
      <c r="I111" s="60">
        <f t="shared" si="27"/>
        <v>41.5</v>
      </c>
      <c r="J111" s="57" t="e">
        <f t="shared" si="28"/>
        <v>#REF!</v>
      </c>
      <c r="K111" s="58"/>
      <c r="L111" s="59">
        <f>+L108</f>
        <v>9025.93</v>
      </c>
      <c r="M111" s="56">
        <v>75.82</v>
      </c>
      <c r="N111" s="55">
        <f t="shared" si="29"/>
        <v>84</v>
      </c>
      <c r="O111" s="56"/>
    </row>
    <row r="112" s="2" customFormat="1" ht="30" customHeight="1" outlineLevel="1" spans="1:15">
      <c r="A112" s="31">
        <v>5</v>
      </c>
      <c r="B112" s="39" t="s">
        <v>298</v>
      </c>
      <c r="C112" s="37" t="s">
        <v>221</v>
      </c>
      <c r="D112" s="38">
        <f>+D107</f>
        <v>14074.03</v>
      </c>
      <c r="E112" s="35">
        <v>1059067.2</v>
      </c>
      <c r="F112" s="35">
        <v>1191074.54</v>
      </c>
      <c r="G112" s="35"/>
      <c r="H112" s="35">
        <f t="shared" si="18"/>
        <v>105.91</v>
      </c>
      <c r="I112" s="60">
        <f t="shared" si="27"/>
        <v>75.25</v>
      </c>
      <c r="J112" s="57" t="e">
        <f t="shared" si="28"/>
        <v>#REF!</v>
      </c>
      <c r="K112" s="58"/>
      <c r="L112" s="59">
        <f>+L108</f>
        <v>9025.93</v>
      </c>
      <c r="M112" s="56"/>
      <c r="N112" s="55">
        <f t="shared" si="29"/>
        <v>0</v>
      </c>
      <c r="O112" s="56"/>
    </row>
    <row r="113" s="2" customFormat="1" ht="30" customHeight="1" outlineLevel="1" spans="1:15">
      <c r="A113" s="31">
        <v>6</v>
      </c>
      <c r="B113" s="39" t="s">
        <v>299</v>
      </c>
      <c r="C113" s="37" t="s">
        <v>221</v>
      </c>
      <c r="D113" s="38">
        <f>+D107</f>
        <v>14074.03</v>
      </c>
      <c r="E113" s="35">
        <v>215839.87</v>
      </c>
      <c r="F113" s="35">
        <v>226864.8</v>
      </c>
      <c r="G113" s="35"/>
      <c r="H113" s="35">
        <f t="shared" si="18"/>
        <v>21.58</v>
      </c>
      <c r="I113" s="60">
        <f t="shared" si="27"/>
        <v>15.34</v>
      </c>
      <c r="J113" s="57" t="e">
        <f t="shared" si="28"/>
        <v>#REF!</v>
      </c>
      <c r="K113" s="58"/>
      <c r="L113" s="59">
        <v>1394.6</v>
      </c>
      <c r="M113" s="56">
        <v>12.55</v>
      </c>
      <c r="N113" s="55">
        <f t="shared" si="29"/>
        <v>89.99</v>
      </c>
      <c r="O113" s="56"/>
    </row>
    <row r="114" s="2" customFormat="1" ht="30" customHeight="1" outlineLevel="1" spans="1:15">
      <c r="A114" s="31">
        <v>6</v>
      </c>
      <c r="B114" s="39" t="s">
        <v>300</v>
      </c>
      <c r="C114" s="37" t="s">
        <v>221</v>
      </c>
      <c r="D114" s="38">
        <f>+D108</f>
        <v>14074.03</v>
      </c>
      <c r="E114" s="35">
        <v>345923.7</v>
      </c>
      <c r="F114" s="35">
        <v>364934.95</v>
      </c>
      <c r="G114" s="35"/>
      <c r="H114" s="35">
        <f t="shared" si="18"/>
        <v>34.59</v>
      </c>
      <c r="I114" s="60">
        <f t="shared" si="27"/>
        <v>24.58</v>
      </c>
      <c r="J114" s="57" t="e">
        <f t="shared" si="28"/>
        <v>#REF!</v>
      </c>
      <c r="K114" s="58"/>
      <c r="L114" s="59">
        <f>+L108</f>
        <v>9025.93</v>
      </c>
      <c r="M114" s="56">
        <v>19.86</v>
      </c>
      <c r="N114" s="55">
        <f t="shared" si="29"/>
        <v>22</v>
      </c>
      <c r="O114" s="56"/>
    </row>
    <row r="115" s="2" customFormat="1" ht="30" customHeight="1" spans="1:15">
      <c r="A115" s="31" t="s">
        <v>301</v>
      </c>
      <c r="B115" s="39" t="s">
        <v>302</v>
      </c>
      <c r="C115" s="37" t="s">
        <v>221</v>
      </c>
      <c r="D115" s="38">
        <f>+D5</f>
        <v>204431.95</v>
      </c>
      <c r="E115" s="35">
        <f>SUM(E116:E125)</f>
        <v>10407247.96</v>
      </c>
      <c r="F115" s="35"/>
      <c r="G115" s="35"/>
      <c r="H115" s="35">
        <f t="shared" si="18"/>
        <v>1040.72</v>
      </c>
      <c r="I115" s="60">
        <f t="shared" si="27"/>
        <v>50.91</v>
      </c>
      <c r="J115" s="57" t="e">
        <f t="shared" si="28"/>
        <v>#REF!</v>
      </c>
      <c r="K115" s="58"/>
      <c r="L115" s="59"/>
      <c r="M115" s="56"/>
      <c r="N115" s="55"/>
      <c r="O115" s="56"/>
    </row>
    <row r="116" s="2" customFormat="1" ht="30" customHeight="1" outlineLevel="1" spans="1:15">
      <c r="A116" s="31">
        <v>1</v>
      </c>
      <c r="B116" s="39" t="s">
        <v>303</v>
      </c>
      <c r="C116" s="37"/>
      <c r="D116" s="38"/>
      <c r="E116" s="35">
        <v>2703390.35</v>
      </c>
      <c r="F116" s="35">
        <v>2703390.35</v>
      </c>
      <c r="G116" s="35"/>
      <c r="H116" s="35">
        <f t="shared" si="18"/>
        <v>270.34</v>
      </c>
      <c r="I116" s="40"/>
      <c r="J116" s="57" t="e">
        <f t="shared" si="28"/>
        <v>#REF!</v>
      </c>
      <c r="K116" s="58"/>
      <c r="L116" s="59">
        <v>115</v>
      </c>
      <c r="M116" s="56">
        <v>28.75</v>
      </c>
      <c r="N116" s="35">
        <f>+M116/L116*10000</f>
        <v>2500</v>
      </c>
      <c r="O116" s="56" t="s">
        <v>304</v>
      </c>
    </row>
    <row r="117" s="2" customFormat="1" ht="30" customHeight="1" outlineLevel="1" spans="1:15">
      <c r="A117" s="31">
        <f t="shared" ref="A117:A124" si="30">+A116+1</f>
        <v>2</v>
      </c>
      <c r="B117" s="39" t="s">
        <v>305</v>
      </c>
      <c r="C117" s="37"/>
      <c r="D117" s="38"/>
      <c r="E117" s="35">
        <v>226675.03</v>
      </c>
      <c r="F117" s="35">
        <v>226675.03</v>
      </c>
      <c r="G117" s="35"/>
      <c r="H117" s="35">
        <f t="shared" si="18"/>
        <v>22.67</v>
      </c>
      <c r="I117" s="40"/>
      <c r="J117" s="57" t="e">
        <f t="shared" si="28"/>
        <v>#REF!</v>
      </c>
      <c r="K117" s="58"/>
      <c r="L117" s="59"/>
      <c r="M117" s="56">
        <v>10</v>
      </c>
      <c r="N117" s="55"/>
      <c r="O117" s="56"/>
    </row>
    <row r="118" s="2" customFormat="1" ht="30" customHeight="1" outlineLevel="1" spans="1:15">
      <c r="A118" s="31">
        <f t="shared" si="30"/>
        <v>3</v>
      </c>
      <c r="B118" s="39" t="s">
        <v>306</v>
      </c>
      <c r="C118" s="37"/>
      <c r="D118" s="38"/>
      <c r="E118" s="35">
        <v>986258.01</v>
      </c>
      <c r="F118" s="35">
        <v>986258.01</v>
      </c>
      <c r="G118" s="35"/>
      <c r="H118" s="35">
        <f t="shared" si="18"/>
        <v>98.63</v>
      </c>
      <c r="I118" s="40"/>
      <c r="J118" s="57" t="e">
        <f t="shared" si="28"/>
        <v>#REF!</v>
      </c>
      <c r="K118" s="58"/>
      <c r="L118" s="59"/>
      <c r="M118" s="56"/>
      <c r="N118" s="55"/>
      <c r="O118" s="56"/>
    </row>
    <row r="119" s="2" customFormat="1" ht="30" customHeight="1" outlineLevel="1" spans="1:15">
      <c r="A119" s="31">
        <f t="shared" si="30"/>
        <v>4</v>
      </c>
      <c r="B119" s="39" t="s">
        <v>307</v>
      </c>
      <c r="C119" s="37"/>
      <c r="D119" s="38"/>
      <c r="E119" s="35">
        <v>3159568.29</v>
      </c>
      <c r="F119" s="35">
        <v>3052389.85</v>
      </c>
      <c r="G119" s="35"/>
      <c r="H119" s="35">
        <f t="shared" si="18"/>
        <v>315.96</v>
      </c>
      <c r="I119" s="40"/>
      <c r="J119" s="57" t="e">
        <f t="shared" si="28"/>
        <v>#REF!</v>
      </c>
      <c r="K119" s="58"/>
      <c r="L119" s="59"/>
      <c r="M119" s="56">
        <v>338</v>
      </c>
      <c r="N119" s="55"/>
      <c r="O119" s="56"/>
    </row>
    <row r="120" s="2" customFormat="1" ht="30" customHeight="1" outlineLevel="1" spans="1:15">
      <c r="A120" s="31">
        <f t="shared" si="30"/>
        <v>5</v>
      </c>
      <c r="B120" s="39" t="s">
        <v>308</v>
      </c>
      <c r="C120" s="37"/>
      <c r="D120" s="38"/>
      <c r="E120" s="35">
        <v>291222.92</v>
      </c>
      <c r="F120" s="35">
        <v>291222.92</v>
      </c>
      <c r="G120" s="35"/>
      <c r="H120" s="35">
        <f t="shared" si="18"/>
        <v>29.12</v>
      </c>
      <c r="I120" s="40"/>
      <c r="J120" s="57" t="e">
        <f t="shared" si="28"/>
        <v>#REF!</v>
      </c>
      <c r="K120" s="58"/>
      <c r="L120" s="59">
        <v>2</v>
      </c>
      <c r="M120" s="56">
        <v>50</v>
      </c>
      <c r="N120" s="35">
        <f>+M120/L120*10000</f>
        <v>250000</v>
      </c>
      <c r="O120" s="56"/>
    </row>
    <row r="121" s="2" customFormat="1" ht="30" customHeight="1" outlineLevel="1" spans="1:15">
      <c r="A121" s="31">
        <f t="shared" si="30"/>
        <v>6</v>
      </c>
      <c r="B121" s="39" t="s">
        <v>309</v>
      </c>
      <c r="C121" s="37"/>
      <c r="D121" s="38"/>
      <c r="E121" s="35">
        <v>21800</v>
      </c>
      <c r="F121" s="35">
        <v>22454</v>
      </c>
      <c r="G121" s="35"/>
      <c r="H121" s="35">
        <f t="shared" si="18"/>
        <v>2.18</v>
      </c>
      <c r="I121" s="40"/>
      <c r="J121" s="57" t="e">
        <f t="shared" si="28"/>
        <v>#REF!</v>
      </c>
      <c r="K121" s="58"/>
      <c r="L121" s="59"/>
      <c r="M121" s="56">
        <v>7</v>
      </c>
      <c r="N121" s="55"/>
      <c r="O121" s="56"/>
    </row>
    <row r="122" s="2" customFormat="1" ht="30" customHeight="1" outlineLevel="1" spans="1:15">
      <c r="A122" s="31">
        <f t="shared" si="30"/>
        <v>7</v>
      </c>
      <c r="B122" s="39" t="s">
        <v>310</v>
      </c>
      <c r="C122" s="37"/>
      <c r="D122" s="38"/>
      <c r="E122" s="35">
        <v>1553130.82</v>
      </c>
      <c r="F122" s="35">
        <v>1526019.5</v>
      </c>
      <c r="G122" s="35"/>
      <c r="H122" s="35">
        <f t="shared" si="18"/>
        <v>155.31</v>
      </c>
      <c r="I122" s="40"/>
      <c r="J122" s="57" t="e">
        <f t="shared" si="28"/>
        <v>#REF!</v>
      </c>
      <c r="K122" s="58"/>
      <c r="L122" s="59"/>
      <c r="M122" s="56">
        <v>0</v>
      </c>
      <c r="N122" s="55"/>
      <c r="O122" s="56"/>
    </row>
    <row r="123" s="2" customFormat="1" ht="30" customHeight="1" outlineLevel="1" spans="1:15">
      <c r="A123" s="31">
        <f t="shared" si="30"/>
        <v>8</v>
      </c>
      <c r="B123" s="39" t="s">
        <v>311</v>
      </c>
      <c r="C123" s="37"/>
      <c r="D123" s="38"/>
      <c r="E123" s="35">
        <v>265737.67</v>
      </c>
      <c r="F123" s="35">
        <v>265737.67</v>
      </c>
      <c r="G123" s="35"/>
      <c r="H123" s="35">
        <f t="shared" si="18"/>
        <v>26.57</v>
      </c>
      <c r="I123" s="40"/>
      <c r="J123" s="57" t="e">
        <f t="shared" si="28"/>
        <v>#REF!</v>
      </c>
      <c r="K123" s="58"/>
      <c r="L123" s="59"/>
      <c r="M123" s="56">
        <v>0</v>
      </c>
      <c r="N123" s="55"/>
      <c r="O123" s="56"/>
    </row>
    <row r="124" s="2" customFormat="1" ht="30" customHeight="1" outlineLevel="1" spans="1:15">
      <c r="A124" s="31">
        <f t="shared" si="30"/>
        <v>9</v>
      </c>
      <c r="B124" s="39" t="s">
        <v>312</v>
      </c>
      <c r="C124" s="37"/>
      <c r="D124" s="38"/>
      <c r="E124" s="35">
        <v>1018761.37</v>
      </c>
      <c r="F124" s="35">
        <v>1018761.37</v>
      </c>
      <c r="G124" s="35"/>
      <c r="H124" s="35">
        <f t="shared" si="18"/>
        <v>101.88</v>
      </c>
      <c r="I124" s="40"/>
      <c r="J124" s="57" t="e">
        <f t="shared" si="28"/>
        <v>#REF!</v>
      </c>
      <c r="K124" s="58"/>
      <c r="L124" s="59"/>
      <c r="M124" s="56"/>
      <c r="N124" s="55"/>
      <c r="O124" s="56"/>
    </row>
    <row r="125" s="2" customFormat="1" ht="30" customHeight="1" outlineLevel="1" spans="1:15">
      <c r="A125" s="31">
        <v>10</v>
      </c>
      <c r="B125" s="39" t="s">
        <v>313</v>
      </c>
      <c r="C125" s="37"/>
      <c r="D125" s="38">
        <v>12046.9</v>
      </c>
      <c r="E125" s="35">
        <f>+D125*I125</f>
        <v>180703.5</v>
      </c>
      <c r="F125" s="62"/>
      <c r="G125" s="35"/>
      <c r="H125" s="35">
        <f t="shared" si="18"/>
        <v>18.07</v>
      </c>
      <c r="I125" s="40">
        <v>15</v>
      </c>
      <c r="J125" s="57" t="e">
        <f t="shared" si="28"/>
        <v>#REF!</v>
      </c>
      <c r="K125" s="58"/>
      <c r="L125" s="59"/>
      <c r="M125" s="56"/>
      <c r="N125" s="55"/>
      <c r="O125" s="56"/>
    </row>
    <row r="126" s="2" customFormat="1" ht="30" customHeight="1" spans="1:15">
      <c r="A126" s="31" t="s">
        <v>314</v>
      </c>
      <c r="B126" s="39" t="s">
        <v>315</v>
      </c>
      <c r="C126" s="37"/>
      <c r="D126" s="38"/>
      <c r="E126" s="35">
        <v>22572091.45</v>
      </c>
      <c r="F126" s="35">
        <v>21977019.77</v>
      </c>
      <c r="G126" s="35"/>
      <c r="H126" s="35">
        <f t="shared" si="18"/>
        <v>2257.21</v>
      </c>
      <c r="I126" s="40"/>
      <c r="J126" s="57" t="e">
        <f t="shared" si="28"/>
        <v>#REF!</v>
      </c>
      <c r="K126" s="58"/>
      <c r="L126" s="59"/>
      <c r="M126" s="56">
        <f>1901.75</f>
        <v>1901.75</v>
      </c>
      <c r="N126" s="55"/>
      <c r="O126" s="56"/>
    </row>
    <row r="127" s="2" customFormat="1" ht="30" customHeight="1" spans="1:15">
      <c r="A127" s="63" t="s">
        <v>14</v>
      </c>
      <c r="B127" s="64" t="s">
        <v>316</v>
      </c>
      <c r="C127" s="65" t="s">
        <v>221</v>
      </c>
      <c r="D127" s="66">
        <f>D5</f>
        <v>204431.95</v>
      </c>
      <c r="E127" s="30" t="e">
        <f>SUM(E129:E157)</f>
        <v>#REF!</v>
      </c>
      <c r="F127" s="30"/>
      <c r="G127" s="30"/>
      <c r="H127" s="30" t="e">
        <f t="shared" si="18"/>
        <v>#REF!</v>
      </c>
      <c r="I127" s="51" t="e">
        <f>E127/D127</f>
        <v>#REF!</v>
      </c>
      <c r="J127" s="52" t="e">
        <f t="shared" si="28"/>
        <v>#REF!</v>
      </c>
      <c r="K127" s="68"/>
      <c r="L127" s="69"/>
      <c r="M127" s="56"/>
      <c r="N127" s="55"/>
      <c r="O127" s="56"/>
    </row>
    <row r="128" s="4" customFormat="1" ht="36" outlineLevel="1" spans="1:15">
      <c r="A128" s="31">
        <f>+二类费用计算明细表!A4</f>
        <v>1</v>
      </c>
      <c r="B128" s="67" t="str">
        <f>+二类费用计算明细表!B4</f>
        <v>用地报批费用</v>
      </c>
      <c r="C128" s="37"/>
      <c r="D128" s="38"/>
      <c r="E128" s="35">
        <f t="shared" ref="E128:E157" si="31">+H128*10000</f>
        <v>564500</v>
      </c>
      <c r="F128" s="35"/>
      <c r="G128" s="35">
        <v>190206764.4</v>
      </c>
      <c r="H128" s="35">
        <f>+二类费用计算明细表!D4</f>
        <v>56.45</v>
      </c>
      <c r="I128" s="60"/>
      <c r="J128" s="57" t="e">
        <f t="shared" si="28"/>
        <v>#REF!</v>
      </c>
      <c r="K128" s="70" t="str">
        <f>+二类费用计算明细表!F4</f>
        <v>珠海市政府投资工程建设其他费预算核定表(珠审费预(2022)313号)、珠审费预(2024)94号</v>
      </c>
      <c r="L128" s="71"/>
      <c r="M128" s="72"/>
      <c r="N128" s="73"/>
      <c r="O128" s="72"/>
    </row>
    <row r="129" s="2" customFormat="1" ht="24" outlineLevel="1" spans="1:15">
      <c r="A129" s="31">
        <f>+二类费用计算明细表!A5</f>
        <v>1.1</v>
      </c>
      <c r="B129" s="67" t="str">
        <f>+二类费用计算明细表!B5</f>
        <v>建设项目用地预审选址意见报告书编制费</v>
      </c>
      <c r="C129" s="37"/>
      <c r="D129" s="38"/>
      <c r="E129" s="35">
        <f t="shared" si="31"/>
        <v>120000</v>
      </c>
      <c r="F129" s="35">
        <v>2785631.6</v>
      </c>
      <c r="G129" s="35">
        <v>9860887.89</v>
      </c>
      <c r="H129" s="35">
        <f>+二类费用计算明细表!D5</f>
        <v>12</v>
      </c>
      <c r="I129" s="60"/>
      <c r="J129" s="57" t="e">
        <f t="shared" si="28"/>
        <v>#REF!</v>
      </c>
      <c r="K129" s="70" t="str">
        <f>+二类费用计算明细表!F5</f>
        <v>珠海市政府投资工程建设其他费预算核定表(珠审费预(2022)313号)</v>
      </c>
      <c r="L129" s="71"/>
      <c r="M129" s="56"/>
      <c r="N129" s="55"/>
      <c r="O129" s="56"/>
    </row>
    <row r="130" s="2" customFormat="1" ht="24" outlineLevel="1" spans="1:15">
      <c r="A130" s="31">
        <f>+二类费用计算明细表!A6</f>
        <v>1.2</v>
      </c>
      <c r="B130" s="67" t="str">
        <f>+二类费用计算明细表!B6</f>
        <v>土地利用规划调整费</v>
      </c>
      <c r="C130" s="37"/>
      <c r="D130" s="38"/>
      <c r="E130" s="35">
        <f t="shared" si="31"/>
        <v>120000</v>
      </c>
      <c r="F130" s="35">
        <f>SUM(F1:F129)</f>
        <v>200067652.29</v>
      </c>
      <c r="G130" s="35">
        <f>+G128+G129</f>
        <v>200067652.29</v>
      </c>
      <c r="H130" s="35">
        <f>+二类费用计算明细表!D6</f>
        <v>12</v>
      </c>
      <c r="I130" s="60"/>
      <c r="J130" s="57" t="e">
        <f t="shared" si="28"/>
        <v>#REF!</v>
      </c>
      <c r="K130" s="70" t="str">
        <f>+二类费用计算明细表!F6</f>
        <v>珠海市政府投资工程建设其他费预算核定表(珠审费预(2022)313号)</v>
      </c>
      <c r="L130" s="71"/>
      <c r="M130" s="56"/>
      <c r="N130" s="55"/>
      <c r="O130" s="56"/>
    </row>
    <row r="131" s="2" customFormat="1" ht="30" customHeight="1" outlineLevel="1" spans="1:15">
      <c r="A131" s="31">
        <f>+二类费用计算明细表!A7</f>
        <v>1.3</v>
      </c>
      <c r="B131" s="67" t="str">
        <f>+二类费用计算明细表!B7</f>
        <v>士规调整、控规调整技术咨询费</v>
      </c>
      <c r="C131" s="37"/>
      <c r="D131" s="38"/>
      <c r="E131" s="35">
        <f t="shared" si="31"/>
        <v>240000</v>
      </c>
      <c r="F131" s="35"/>
      <c r="G131" s="35"/>
      <c r="H131" s="35">
        <f>+二类费用计算明细表!D7</f>
        <v>24</v>
      </c>
      <c r="I131" s="60"/>
      <c r="J131" s="57" t="e">
        <f t="shared" si="28"/>
        <v>#REF!</v>
      </c>
      <c r="K131" s="70" t="str">
        <f>+二类费用计算明细表!F7</f>
        <v>按合同金额计入</v>
      </c>
      <c r="L131" s="71"/>
      <c r="M131" s="56"/>
      <c r="N131" s="55"/>
      <c r="O131" s="56"/>
    </row>
    <row r="132" s="2" customFormat="1" ht="24" outlineLevel="1" spans="1:15">
      <c r="A132" s="31">
        <f>+二类费用计算明细表!A8</f>
        <v>1.4</v>
      </c>
      <c r="B132" s="67" t="str">
        <f>+二类费用计算明细表!B8</f>
        <v>占用耕地耕作层剥离再利用方案编制费</v>
      </c>
      <c r="C132" s="37"/>
      <c r="D132" s="38"/>
      <c r="E132" s="35">
        <f t="shared" si="31"/>
        <v>84500</v>
      </c>
      <c r="F132" s="35"/>
      <c r="G132" s="35"/>
      <c r="H132" s="35">
        <f>+二类费用计算明细表!D8</f>
        <v>8.45</v>
      </c>
      <c r="I132" s="60"/>
      <c r="J132" s="57" t="e">
        <f t="shared" si="28"/>
        <v>#REF!</v>
      </c>
      <c r="K132" s="70" t="str">
        <f>+二类费用计算明细表!F8</f>
        <v>按合同金额计入</v>
      </c>
      <c r="L132" s="71"/>
      <c r="M132" s="56"/>
      <c r="N132" s="55"/>
      <c r="O132" s="56"/>
    </row>
    <row r="133" s="2" customFormat="1" ht="36" outlineLevel="1" spans="1:15">
      <c r="A133" s="31">
        <f>+二类费用计算明细表!A9</f>
        <v>2</v>
      </c>
      <c r="B133" s="67" t="str">
        <f>+二类费用计算明细表!B9</f>
        <v>可研编制费</v>
      </c>
      <c r="C133" s="37"/>
      <c r="D133" s="38"/>
      <c r="E133" s="35">
        <f t="shared" si="31"/>
        <v>405300</v>
      </c>
      <c r="F133" s="35"/>
      <c r="G133" s="35"/>
      <c r="H133" s="35">
        <f>+二类费用计算明细表!D9</f>
        <v>40.53</v>
      </c>
      <c r="I133" s="60"/>
      <c r="J133" s="57" t="e">
        <f t="shared" si="28"/>
        <v>#REF!</v>
      </c>
      <c r="K133" s="70" t="str">
        <f>+二类费用计算明细表!F9</f>
        <v>珠审费预(2023)51号，专业调整系数为0.8、复杂调整系数为1.0，费率0.8。</v>
      </c>
      <c r="L133" s="71"/>
      <c r="M133" s="56"/>
      <c r="N133" s="55"/>
      <c r="O133" s="56"/>
    </row>
    <row r="134" s="2" customFormat="1" ht="60" outlineLevel="1" spans="1:15">
      <c r="A134" s="31">
        <f>+二类费用计算明细表!A10</f>
        <v>3</v>
      </c>
      <c r="B134" s="67" t="str">
        <f>+二类费用计算明细表!B10</f>
        <v>环境影响咨询服务费</v>
      </c>
      <c r="C134" s="37"/>
      <c r="D134" s="38"/>
      <c r="E134" s="35" t="e">
        <f t="shared" si="31"/>
        <v>#REF!</v>
      </c>
      <c r="F134" s="35"/>
      <c r="G134" s="35"/>
      <c r="H134" s="35" t="e">
        <f>+二类费用计算明细表!D10</f>
        <v>#REF!</v>
      </c>
      <c r="I134" s="60"/>
      <c r="J134" s="57" t="e">
        <f t="shared" si="28"/>
        <v>#REF!</v>
      </c>
      <c r="K134" s="70" t="str">
        <f>+二类费用计算明细表!F10</f>
        <v>计价格 [2002]125号、发改价格[2011]534号，编制环境影响报告表/书，行业调整系数取0.6、敏感程度调整系数取0.8，费率0.8。考虑检测费4万元。</v>
      </c>
      <c r="L134" s="71"/>
      <c r="M134" s="56"/>
      <c r="N134" s="55"/>
      <c r="O134" s="56"/>
    </row>
    <row r="135" s="2" customFormat="1" ht="30" customHeight="1" outlineLevel="1" spans="1:15">
      <c r="A135" s="31">
        <f>+二类费用计算明细表!A11</f>
        <v>4</v>
      </c>
      <c r="B135" s="67" t="str">
        <f>+二类费用计算明细表!B11</f>
        <v>测量测绘费</v>
      </c>
      <c r="C135" s="37"/>
      <c r="D135" s="38"/>
      <c r="E135" s="35" t="e">
        <f t="shared" si="31"/>
        <v>#REF!</v>
      </c>
      <c r="F135" s="35"/>
      <c r="G135" s="35"/>
      <c r="H135" s="35" t="e">
        <f>+二类费用计算明细表!D11</f>
        <v>#REF!</v>
      </c>
      <c r="I135" s="60"/>
      <c r="J135" s="57" t="e">
        <f t="shared" si="28"/>
        <v>#REF!</v>
      </c>
      <c r="K135" s="70" t="str">
        <f>+二类费用计算明细表!F11</f>
        <v>珠测[2010]30号、国测财字[2002]3号 暂按（一）*0.5%计取</v>
      </c>
      <c r="L135" s="71"/>
      <c r="M135" s="56"/>
      <c r="N135" s="55"/>
      <c r="O135" s="56"/>
    </row>
    <row r="136" s="2" customFormat="1" ht="36" outlineLevel="1" spans="1:15">
      <c r="A136" s="31">
        <f>+二类费用计算明细表!A12</f>
        <v>5</v>
      </c>
      <c r="B136" s="67" t="str">
        <f>+二类费用计算明细表!B12</f>
        <v>工程勘察费</v>
      </c>
      <c r="C136" s="37"/>
      <c r="D136" s="38"/>
      <c r="E136" s="35" t="e">
        <f t="shared" si="31"/>
        <v>#REF!</v>
      </c>
      <c r="F136" s="35"/>
      <c r="G136" s="35"/>
      <c r="H136" s="35" t="e">
        <f>+二类费用计算明细表!D12</f>
        <v>#REF!</v>
      </c>
      <c r="I136" s="60"/>
      <c r="J136" s="57" t="e">
        <f t="shared" si="28"/>
        <v>#REF!</v>
      </c>
      <c r="K136" s="70" t="str">
        <f>+二类费用计算明细表!F12</f>
        <v>计价格[2002]10号 勘测费：设计费×20%；暂定 以实际勘测工作量结算为准</v>
      </c>
      <c r="L136" s="71"/>
      <c r="M136" s="56"/>
      <c r="N136" s="55"/>
      <c r="O136" s="56"/>
    </row>
    <row r="137" s="2" customFormat="1" ht="36" outlineLevel="1" spans="1:15">
      <c r="A137" s="31">
        <f>+二类费用计算明细表!A13</f>
        <v>6</v>
      </c>
      <c r="B137" s="67" t="str">
        <f>+二类费用计算明细表!B13</f>
        <v>工程设计费</v>
      </c>
      <c r="C137" s="37"/>
      <c r="D137" s="38"/>
      <c r="E137" s="35" t="e">
        <f t="shared" si="31"/>
        <v>#REF!</v>
      </c>
      <c r="F137" s="35"/>
      <c r="G137" s="35"/>
      <c r="H137" s="35" t="e">
        <f>+二类费用计算明细表!D13</f>
        <v>#REF!</v>
      </c>
      <c r="I137" s="60"/>
      <c r="J137" s="57" t="e">
        <f t="shared" si="28"/>
        <v>#REF!</v>
      </c>
      <c r="K137" s="70" t="str">
        <f>+二类费用计算明细表!F13</f>
        <v>计价格[2002]10号，专业调整系数取1.0、附加调整系数取1.0、复杂程度调整系数1.0、费率0.8</v>
      </c>
      <c r="L137" s="71"/>
      <c r="M137" s="56"/>
      <c r="N137" s="55"/>
      <c r="O137" s="56"/>
    </row>
    <row r="138" s="2" customFormat="1" ht="30" customHeight="1" outlineLevel="1" spans="1:15">
      <c r="A138" s="31">
        <f>+二类费用计算明细表!A14</f>
        <v>7</v>
      </c>
      <c r="B138" s="67" t="str">
        <f>+二类费用计算明细表!B14</f>
        <v>施工图技术审查费</v>
      </c>
      <c r="C138" s="37"/>
      <c r="D138" s="38"/>
      <c r="E138" s="35" t="e">
        <f t="shared" si="31"/>
        <v>#REF!</v>
      </c>
      <c r="F138" s="35"/>
      <c r="G138" s="35"/>
      <c r="H138" s="35" t="e">
        <f>+二类费用计算明细表!D14</f>
        <v>#REF!</v>
      </c>
      <c r="I138" s="60"/>
      <c r="J138" s="57" t="e">
        <f t="shared" si="28"/>
        <v>#REF!</v>
      </c>
      <c r="K138" s="70" t="str">
        <f>+二类费用计算明细表!F14</f>
        <v>（工程勘察费+工程设计费）*6.5%</v>
      </c>
      <c r="L138" s="71"/>
      <c r="M138" s="56"/>
      <c r="N138" s="55"/>
      <c r="O138" s="56"/>
    </row>
    <row r="139" s="2" customFormat="1" ht="72" outlineLevel="1" spans="1:15">
      <c r="A139" s="31">
        <f>+二类费用计算明细表!A15</f>
        <v>8</v>
      </c>
      <c r="B139" s="67" t="str">
        <f>+二类费用计算明细表!B15</f>
        <v>建设工程监理费</v>
      </c>
      <c r="C139" s="37"/>
      <c r="D139" s="38"/>
      <c r="E139" s="35" t="e">
        <f t="shared" si="31"/>
        <v>#REF!</v>
      </c>
      <c r="F139" s="35"/>
      <c r="G139" s="35"/>
      <c r="H139" s="35" t="e">
        <f>+二类费用计算明细表!D15</f>
        <v>#REF!</v>
      </c>
      <c r="I139" s="60"/>
      <c r="J139" s="57" t="e">
        <f t="shared" si="28"/>
        <v>#REF!</v>
      </c>
      <c r="K139" s="70" t="str">
        <f>+二类费用计算明细表!F15</f>
        <v>按照《建设工程监理与相关服务收费管理规定》（发改价格[2007]670号）所载标准计算，专业调整系数取1.0，工程复杂程度系数取1.0，高程调整系数取1.0，费率0.8</v>
      </c>
      <c r="L139" s="71"/>
      <c r="M139" s="56"/>
      <c r="N139" s="55"/>
      <c r="O139" s="56"/>
    </row>
    <row r="140" s="2" customFormat="1" ht="30" customHeight="1" outlineLevel="1" spans="1:15">
      <c r="A140" s="31">
        <f>+二类费用计算明细表!A16</f>
        <v>9</v>
      </c>
      <c r="B140" s="67" t="str">
        <f>+二类费用计算明细表!B16</f>
        <v>工程造价咨询服务费</v>
      </c>
      <c r="C140" s="37"/>
      <c r="D140" s="38"/>
      <c r="E140" s="35" t="e">
        <f t="shared" si="31"/>
        <v>#REF!</v>
      </c>
      <c r="F140" s="35"/>
      <c r="G140" s="35"/>
      <c r="H140" s="35" t="e">
        <f>+二类费用计算明细表!D16</f>
        <v>#REF!</v>
      </c>
      <c r="I140" s="60"/>
      <c r="J140" s="57" t="e">
        <f t="shared" si="28"/>
        <v>#REF!</v>
      </c>
      <c r="K140" s="70" t="str">
        <f>+二类费用计算明细表!F16</f>
        <v>工程预算编制+结算基本收费+钢筋计预埋件</v>
      </c>
      <c r="L140" s="71"/>
      <c r="M140" s="56"/>
      <c r="N140" s="55"/>
      <c r="O140" s="56"/>
    </row>
    <row r="141" s="2" customFormat="1" ht="36" outlineLevel="1" spans="1:15">
      <c r="A141" s="31">
        <f>+二类费用计算明细表!A17</f>
        <v>10</v>
      </c>
      <c r="B141" s="67" t="str">
        <f>+二类费用计算明细表!B17</f>
        <v>场地准备和临时设施费</v>
      </c>
      <c r="C141" s="37"/>
      <c r="D141" s="38"/>
      <c r="E141" s="35" t="e">
        <f t="shared" si="31"/>
        <v>#REF!</v>
      </c>
      <c r="F141" s="35"/>
      <c r="G141" s="35"/>
      <c r="H141" s="35" t="e">
        <f>+二类费用计算明细表!D17</f>
        <v>#REF!</v>
      </c>
      <c r="I141" s="60"/>
      <c r="J141" s="57" t="e">
        <f t="shared" si="28"/>
        <v>#REF!</v>
      </c>
      <c r="K141" s="70" t="str">
        <f>+二类费用计算明细表!F17</f>
        <v>《珠海市政府投资项目估（概）算工程建设其他费计费指引（试行）》，按建安费*0.5%暂估</v>
      </c>
      <c r="L141" s="71"/>
      <c r="M141" s="56"/>
      <c r="N141" s="55"/>
      <c r="O141" s="56"/>
    </row>
    <row r="142" s="2" customFormat="1" ht="132" outlineLevel="1" spans="1:15">
      <c r="A142" s="31">
        <f>+二类费用计算明细表!A18</f>
        <v>11</v>
      </c>
      <c r="B142" s="67" t="str">
        <f>+二类费用计算明细表!B18</f>
        <v>检验监测费</v>
      </c>
      <c r="C142" s="37"/>
      <c r="D142" s="38"/>
      <c r="E142" s="35" t="e">
        <f t="shared" si="31"/>
        <v>#REF!</v>
      </c>
      <c r="F142" s="35"/>
      <c r="G142" s="35"/>
      <c r="H142" s="35" t="e">
        <f>+二类费用计算明细表!D18</f>
        <v>#REF!</v>
      </c>
      <c r="I142" s="60"/>
      <c r="J142" s="57" t="e">
        <f t="shared" si="28"/>
        <v>#REF!</v>
      </c>
      <c r="K142" s="70" t="str">
        <f>+二类费用计算明细表!F18</f>
        <v>根据《广东省建设工程概算编制办法》，《珠海市政府投资项目估（概）算工程建设其他费计费指引（试行）》，相关检验检测费按照工程建安费用1%计算，包含但不限于：材料进场检验费、地基检测、桩基础检测费、起重设备检验费、室内空气检验费、幕墙检验费、钢结构无损探伤检测费、房屋结构可靠性评定及安全鉴定费、防雷设施检测费、节能检测费、土壤氡检测、沉降监测费等</v>
      </c>
      <c r="L142" s="71"/>
      <c r="M142" s="56"/>
      <c r="N142" s="55"/>
      <c r="O142" s="56"/>
    </row>
    <row r="143" s="2" customFormat="1" ht="30" customHeight="1" outlineLevel="1" spans="1:15">
      <c r="A143" s="31">
        <f>+二类费用计算明细表!A19</f>
        <v>12</v>
      </c>
      <c r="B143" s="67" t="str">
        <f>+二类费用计算明细表!B19</f>
        <v>工程保险费</v>
      </c>
      <c r="C143" s="37"/>
      <c r="D143" s="38"/>
      <c r="E143" s="35" t="e">
        <f t="shared" si="31"/>
        <v>#REF!</v>
      </c>
      <c r="F143" s="35"/>
      <c r="G143" s="35"/>
      <c r="H143" s="35" t="e">
        <f>+二类费用计算明细表!D19</f>
        <v>#REF!</v>
      </c>
      <c r="I143" s="60"/>
      <c r="J143" s="57" t="e">
        <f t="shared" si="28"/>
        <v>#REF!</v>
      </c>
      <c r="K143" s="70" t="str">
        <f>+二类费用计算明细表!F19</f>
        <v>建标【2011】1号</v>
      </c>
      <c r="L143" s="71"/>
      <c r="M143" s="56"/>
      <c r="N143" s="55"/>
      <c r="O143" s="56"/>
    </row>
    <row r="144" s="2" customFormat="1" ht="30" customHeight="1" outlineLevel="1" spans="1:15">
      <c r="A144" s="31">
        <f>+二类费用计算明细表!A20</f>
        <v>13</v>
      </c>
      <c r="B144" s="67" t="str">
        <f>+二类费用计算明细表!B20</f>
        <v>水土保持方案编制费</v>
      </c>
      <c r="C144" s="37"/>
      <c r="D144" s="38"/>
      <c r="E144" s="35">
        <f t="shared" si="31"/>
        <v>85000</v>
      </c>
      <c r="F144" s="35"/>
      <c r="G144" s="35"/>
      <c r="H144" s="35">
        <f>+二类费用计算明细表!D20</f>
        <v>8.5</v>
      </c>
      <c r="I144" s="60"/>
      <c r="J144" s="57" t="e">
        <f t="shared" si="28"/>
        <v>#REF!</v>
      </c>
      <c r="K144" s="70" t="str">
        <f>+二类费用计算明细表!F20</f>
        <v>珠审费预[2024]361号，暂按审批金额计入</v>
      </c>
      <c r="L144" s="71"/>
      <c r="M144" s="56"/>
      <c r="N144" s="55"/>
      <c r="O144" s="56"/>
    </row>
    <row r="145" s="2" customFormat="1" ht="30" customHeight="1" outlineLevel="1" spans="1:15">
      <c r="A145" s="31">
        <f>+二类费用计算明细表!A21</f>
        <v>14</v>
      </c>
      <c r="B145" s="67" t="str">
        <f>+二类费用计算明细表!B21</f>
        <v>水土保持补偿费</v>
      </c>
      <c r="C145" s="37"/>
      <c r="D145" s="38"/>
      <c r="E145" s="35">
        <f t="shared" si="31"/>
        <v>250000</v>
      </c>
      <c r="F145" s="35"/>
      <c r="G145" s="35"/>
      <c r="H145" s="35">
        <f>+二类费用计算明细表!D21</f>
        <v>25</v>
      </c>
      <c r="I145" s="60"/>
      <c r="J145" s="57" t="e">
        <f t="shared" si="28"/>
        <v>#REF!</v>
      </c>
      <c r="K145" s="70" t="str">
        <f>+二类费用计算明细表!F21</f>
        <v>暂估</v>
      </c>
      <c r="L145" s="71"/>
      <c r="M145" s="56"/>
      <c r="N145" s="55"/>
      <c r="O145" s="56"/>
    </row>
    <row r="146" s="2" customFormat="1" ht="30" customHeight="1" outlineLevel="1" spans="1:15">
      <c r="A146" s="31" t="e">
        <f>+二类费用计算明细表!#REF!</f>
        <v>#REF!</v>
      </c>
      <c r="B146" s="67" t="e">
        <f>+二类费用计算明细表!#REF!</f>
        <v>#REF!</v>
      </c>
      <c r="C146" s="37"/>
      <c r="D146" s="38"/>
      <c r="E146" s="35" t="e">
        <f t="shared" si="31"/>
        <v>#REF!</v>
      </c>
      <c r="F146" s="35"/>
      <c r="G146" s="35"/>
      <c r="H146" s="35" t="e">
        <f>+二类费用计算明细表!#REF!</f>
        <v>#REF!</v>
      </c>
      <c r="I146" s="60"/>
      <c r="J146" s="57" t="e">
        <f t="shared" si="28"/>
        <v>#REF!</v>
      </c>
      <c r="K146" s="70" t="e">
        <f>+二类费用计算明细表!#REF!</f>
        <v>#REF!</v>
      </c>
      <c r="L146" s="71"/>
      <c r="M146" s="56"/>
      <c r="N146" s="55"/>
      <c r="O146" s="56"/>
    </row>
    <row r="147" s="2" customFormat="1" ht="30" customHeight="1" outlineLevel="1" spans="1:15">
      <c r="A147" s="31">
        <f>+二类费用计算明细表!A22</f>
        <v>15</v>
      </c>
      <c r="B147" s="67" t="str">
        <f>+二类费用计算明细表!B22</f>
        <v>水保监测及验收费用</v>
      </c>
      <c r="C147" s="37"/>
      <c r="D147" s="38"/>
      <c r="E147" s="35">
        <f t="shared" si="31"/>
        <v>100000</v>
      </c>
      <c r="F147" s="35"/>
      <c r="G147" s="35"/>
      <c r="H147" s="35">
        <f>+二类费用计算明细表!D22</f>
        <v>10</v>
      </c>
      <c r="I147" s="60"/>
      <c r="J147" s="57" t="e">
        <f t="shared" si="28"/>
        <v>#REF!</v>
      </c>
      <c r="K147" s="70" t="str">
        <f>+二类费用计算明细表!F22</f>
        <v>暂估</v>
      </c>
      <c r="L147" s="71"/>
      <c r="M147" s="56"/>
      <c r="N147" s="55"/>
      <c r="O147" s="56"/>
    </row>
    <row r="148" s="2" customFormat="1" ht="24" outlineLevel="1" spans="1:15">
      <c r="A148" s="31">
        <f>+二类费用计算明细表!A23</f>
        <v>16</v>
      </c>
      <c r="B148" s="67" t="str">
        <f>+二类费用计算明细表!B23</f>
        <v>土壤污染状况调查费</v>
      </c>
      <c r="C148" s="37"/>
      <c r="D148" s="38"/>
      <c r="E148" s="35">
        <f t="shared" si="31"/>
        <v>298000</v>
      </c>
      <c r="F148" s="35"/>
      <c r="G148" s="35"/>
      <c r="H148" s="35">
        <f>+二类费用计算明细表!D23</f>
        <v>29.8</v>
      </c>
      <c r="I148" s="60"/>
      <c r="J148" s="57" t="e">
        <f t="shared" si="28"/>
        <v>#REF!</v>
      </c>
      <c r="K148" s="70" t="str">
        <f>+二类费用计算明细表!F23</f>
        <v>珠审费预[2024]377号，暂按审批金额计入</v>
      </c>
      <c r="L148" s="71"/>
      <c r="M148" s="56"/>
      <c r="N148" s="55"/>
      <c r="O148" s="56"/>
    </row>
    <row r="149" s="2" customFormat="1" ht="12" outlineLevel="1" spans="1:15">
      <c r="A149" s="31">
        <f>+二类费用计算明细表!A24</f>
        <v>17</v>
      </c>
      <c r="B149" s="67" t="str">
        <f>+二类费用计算明细表!B24</f>
        <v>白蚁防治费</v>
      </c>
      <c r="C149" s="37"/>
      <c r="D149" s="38"/>
      <c r="E149" s="35">
        <f t="shared" si="31"/>
        <v>36100</v>
      </c>
      <c r="F149" s="35"/>
      <c r="G149" s="35"/>
      <c r="H149" s="35">
        <f>+二类费用计算明细表!D24</f>
        <v>3.61</v>
      </c>
      <c r="I149" s="60"/>
      <c r="J149" s="57" t="e">
        <f t="shared" si="28"/>
        <v>#REF!</v>
      </c>
      <c r="K149" s="70" t="str">
        <f>+二类费用计算明细表!F24</f>
        <v>粤价[2002】370号</v>
      </c>
      <c r="L149" s="71"/>
      <c r="M149" s="56"/>
      <c r="N149" s="55"/>
      <c r="O149" s="56"/>
    </row>
    <row r="150" s="2" customFormat="1" ht="30" customHeight="1" outlineLevel="1" spans="1:15">
      <c r="A150" s="31">
        <f>+二类费用计算明细表!A25</f>
        <v>18</v>
      </c>
      <c r="B150" s="67" t="str">
        <f>+二类费用计算明细表!B25</f>
        <v>交通影响评价费</v>
      </c>
      <c r="C150" s="37"/>
      <c r="D150" s="38"/>
      <c r="E150" s="35">
        <f t="shared" si="31"/>
        <v>126000</v>
      </c>
      <c r="F150" s="35"/>
      <c r="G150" s="35"/>
      <c r="H150" s="35">
        <f>+二类费用计算明细表!D25</f>
        <v>12.6</v>
      </c>
      <c r="I150" s="60"/>
      <c r="J150" s="57" t="e">
        <f t="shared" si="28"/>
        <v>#REF!</v>
      </c>
      <c r="K150" s="70" t="str">
        <f>+二类费用计算明细表!F25</f>
        <v>按合同计入</v>
      </c>
      <c r="L150" s="71"/>
      <c r="M150" s="56"/>
      <c r="N150" s="55"/>
      <c r="O150" s="56"/>
    </row>
    <row r="151" s="2" customFormat="1" ht="12" outlineLevel="1" spans="1:15">
      <c r="A151" s="31" t="e">
        <f>+二类费用计算明细表!#REF!</f>
        <v>#REF!</v>
      </c>
      <c r="B151" s="67" t="e">
        <f>+二类费用计算明细表!#REF!</f>
        <v>#REF!</v>
      </c>
      <c r="C151" s="37"/>
      <c r="D151" s="38"/>
      <c r="E151" s="35" t="e">
        <f t="shared" si="31"/>
        <v>#REF!</v>
      </c>
      <c r="F151" s="35"/>
      <c r="G151" s="35"/>
      <c r="H151" s="35" t="e">
        <f>+二类费用计算明细表!#REF!</f>
        <v>#REF!</v>
      </c>
      <c r="I151" s="60"/>
      <c r="J151" s="57" t="e">
        <f t="shared" si="28"/>
        <v>#REF!</v>
      </c>
      <c r="K151" s="70" t="e">
        <f>+二类费用计算明细表!#REF!</f>
        <v>#REF!</v>
      </c>
      <c r="L151" s="71"/>
      <c r="M151" s="56"/>
      <c r="N151" s="55"/>
      <c r="O151" s="56"/>
    </row>
    <row r="152" s="2" customFormat="1" ht="30" customHeight="1" outlineLevel="1" spans="1:15">
      <c r="A152" s="31">
        <f>+二类费用计算明细表!A26</f>
        <v>19</v>
      </c>
      <c r="B152" s="67" t="str">
        <f>+二类费用计算明细表!B26</f>
        <v>地质灾害评估费</v>
      </c>
      <c r="C152" s="37"/>
      <c r="D152" s="38"/>
      <c r="E152" s="35">
        <f t="shared" si="31"/>
        <v>140000</v>
      </c>
      <c r="F152" s="35"/>
      <c r="G152" s="35"/>
      <c r="H152" s="35">
        <f>+二类费用计算明细表!D26</f>
        <v>14</v>
      </c>
      <c r="I152" s="60"/>
      <c r="J152" s="57" t="e">
        <f t="shared" si="28"/>
        <v>#REF!</v>
      </c>
      <c r="K152" s="70" t="str">
        <f>+二类费用计算明细表!F26</f>
        <v>珠审费预[2024]361号，暂按审批金额计入</v>
      </c>
      <c r="L152" s="71"/>
      <c r="M152" s="56"/>
      <c r="N152" s="55"/>
      <c r="O152" s="56"/>
    </row>
    <row r="153" s="2" customFormat="1" ht="30" customHeight="1" outlineLevel="1" spans="1:15">
      <c r="A153" s="31" t="e">
        <f>+二类费用计算明细表!#REF!</f>
        <v>#REF!</v>
      </c>
      <c r="B153" s="67" t="e">
        <f>+二类费用计算明细表!#REF!</f>
        <v>#REF!</v>
      </c>
      <c r="C153" s="37"/>
      <c r="D153" s="38"/>
      <c r="E153" s="35" t="e">
        <f t="shared" si="31"/>
        <v>#REF!</v>
      </c>
      <c r="F153" s="35"/>
      <c r="G153" s="35"/>
      <c r="H153" s="35" t="e">
        <f>+二类费用计算明细表!#REF!</f>
        <v>#REF!</v>
      </c>
      <c r="I153" s="60"/>
      <c r="J153" s="57" t="e">
        <f t="shared" si="28"/>
        <v>#REF!</v>
      </c>
      <c r="K153" s="70" t="e">
        <f>+二类费用计算明细表!#REF!</f>
        <v>#REF!</v>
      </c>
      <c r="L153" s="71"/>
      <c r="M153" s="56"/>
      <c r="N153" s="55"/>
      <c r="O153" s="56"/>
    </row>
    <row r="154" s="2" customFormat="1" ht="30" customHeight="1" outlineLevel="1" spans="1:15">
      <c r="A154" s="31">
        <f>+二类费用计算明细表!A27</f>
        <v>20</v>
      </c>
      <c r="B154" s="67" t="str">
        <f>+二类费用计算明细表!B27</f>
        <v>社会稳定风险评估费</v>
      </c>
      <c r="C154" s="37"/>
      <c r="D154" s="38"/>
      <c r="E154" s="35">
        <f t="shared" si="31"/>
        <v>86400</v>
      </c>
      <c r="F154" s="35"/>
      <c r="G154" s="35"/>
      <c r="H154" s="35">
        <f>+二类费用计算明细表!D27</f>
        <v>8.64</v>
      </c>
      <c r="I154" s="60"/>
      <c r="J154" s="57" t="e">
        <f t="shared" si="28"/>
        <v>#REF!</v>
      </c>
      <c r="K154" s="70" t="str">
        <f>+二类费用计算明细表!F27</f>
        <v>按合同金额计入</v>
      </c>
      <c r="L154" s="71"/>
      <c r="M154" s="56"/>
      <c r="N154" s="55"/>
      <c r="O154" s="56"/>
    </row>
    <row r="155" s="2" customFormat="1" ht="30" customHeight="1" outlineLevel="1" spans="1:15">
      <c r="A155" s="31">
        <f>+二类费用计算明细表!A28</f>
        <v>21</v>
      </c>
      <c r="B155" s="67" t="str">
        <f>+二类费用计算明细表!B28</f>
        <v>节地评价报告编制费</v>
      </c>
      <c r="C155" s="37"/>
      <c r="D155" s="38"/>
      <c r="E155" s="35">
        <f t="shared" si="31"/>
        <v>130000</v>
      </c>
      <c r="F155" s="35"/>
      <c r="G155" s="35"/>
      <c r="H155" s="35">
        <f>+二类费用计算明细表!D28</f>
        <v>13</v>
      </c>
      <c r="I155" s="60"/>
      <c r="J155" s="57" t="e">
        <f t="shared" si="28"/>
        <v>#REF!</v>
      </c>
      <c r="K155" s="70" t="str">
        <f>+二类费用计算明细表!F28</f>
        <v>按合同金额计入</v>
      </c>
      <c r="L155" s="71"/>
      <c r="M155" s="56"/>
      <c r="N155" s="55"/>
      <c r="O155" s="56"/>
    </row>
    <row r="156" s="2" customFormat="1" ht="30" customHeight="1" outlineLevel="1" spans="1:15">
      <c r="A156" s="31">
        <f>+二类费用计算明细表!A29</f>
        <v>22</v>
      </c>
      <c r="B156" s="67" t="str">
        <f>+二类费用计算明细表!B29</f>
        <v>人防易地建设费</v>
      </c>
      <c r="C156" s="37"/>
      <c r="D156" s="38"/>
      <c r="E156" s="35">
        <f t="shared" si="31"/>
        <v>963800</v>
      </c>
      <c r="F156" s="35"/>
      <c r="G156" s="35"/>
      <c r="H156" s="35">
        <f>+二类费用计算明细表!D29</f>
        <v>96.38</v>
      </c>
      <c r="I156" s="60"/>
      <c r="J156" s="57" t="e">
        <f t="shared" si="28"/>
        <v>#REF!</v>
      </c>
      <c r="K156" s="70" t="str">
        <f>+二类费用计算明细表!F29</f>
        <v>人防异地建设费收费标准 粤发改价格[2020]435号，1600元/m2计算</v>
      </c>
      <c r="L156" s="71"/>
      <c r="M156" s="56"/>
      <c r="N156" s="55"/>
      <c r="O156" s="56"/>
    </row>
    <row r="157" s="2" customFormat="1" ht="19" customHeight="1" outlineLevel="1" spans="1:15">
      <c r="A157" s="31">
        <f>+二类费用计算明细表!A30</f>
        <v>23</v>
      </c>
      <c r="B157" s="67" t="str">
        <f>+二类费用计算明细表!B30</f>
        <v>概念性方案设计费用</v>
      </c>
      <c r="C157" s="37"/>
      <c r="D157" s="38"/>
      <c r="E157" s="35">
        <f t="shared" si="31"/>
        <v>160000</v>
      </c>
      <c r="F157" s="35"/>
      <c r="G157" s="35"/>
      <c r="H157" s="35">
        <f>+二类费用计算明细表!D30</f>
        <v>16</v>
      </c>
      <c r="I157" s="60"/>
      <c r="J157" s="57" t="e">
        <f t="shared" si="28"/>
        <v>#REF!</v>
      </c>
      <c r="K157" s="70" t="str">
        <f>+二类费用计算明细表!F30</f>
        <v>按合同金额计入</v>
      </c>
      <c r="L157" s="71"/>
      <c r="M157" s="56"/>
      <c r="N157" s="55"/>
      <c r="O157" s="56"/>
    </row>
    <row r="158" s="2" customFormat="1" ht="30" customHeight="1" spans="1:15">
      <c r="A158" s="63" t="s">
        <v>37</v>
      </c>
      <c r="B158" s="64" t="s">
        <v>38</v>
      </c>
      <c r="C158" s="65"/>
      <c r="D158" s="66">
        <f>D5</f>
        <v>204431.95</v>
      </c>
      <c r="E158" s="30" t="e">
        <f>E159</f>
        <v>#REF!</v>
      </c>
      <c r="F158" s="30"/>
      <c r="G158" s="30"/>
      <c r="H158" s="30" t="e">
        <f t="shared" ref="H158:H160" si="32">E158/10000</f>
        <v>#REF!</v>
      </c>
      <c r="I158" s="86" t="e">
        <f>E158/D158</f>
        <v>#REF!</v>
      </c>
      <c r="J158" s="52" t="e">
        <f t="shared" si="28"/>
        <v>#REF!</v>
      </c>
      <c r="K158" s="87"/>
      <c r="L158" s="88"/>
      <c r="M158" s="89"/>
      <c r="N158" s="55"/>
      <c r="O158" s="56"/>
    </row>
    <row r="159" s="4" customFormat="1" ht="30" customHeight="1" spans="1:15">
      <c r="A159" s="31">
        <v>1</v>
      </c>
      <c r="B159" s="74" t="s">
        <v>317</v>
      </c>
      <c r="C159" s="37" t="s">
        <v>221</v>
      </c>
      <c r="D159" s="75">
        <v>0.05</v>
      </c>
      <c r="E159" s="35" t="e">
        <f>(E5+E127)*D159</f>
        <v>#REF!</v>
      </c>
      <c r="F159" s="35"/>
      <c r="G159" s="35"/>
      <c r="H159" s="35" t="e">
        <f t="shared" si="32"/>
        <v>#REF!</v>
      </c>
      <c r="I159" s="60"/>
      <c r="J159" s="57" t="e">
        <f t="shared" si="28"/>
        <v>#REF!</v>
      </c>
      <c r="K159" s="58" t="s">
        <v>318</v>
      </c>
      <c r="L159" s="59"/>
      <c r="M159" s="72"/>
      <c r="N159" s="73"/>
      <c r="O159" s="72"/>
    </row>
    <row r="160" s="2" customFormat="1" ht="30" customHeight="1" spans="1:15">
      <c r="A160" s="63" t="s">
        <v>319</v>
      </c>
      <c r="B160" s="64" t="s">
        <v>320</v>
      </c>
      <c r="C160" s="65"/>
      <c r="D160" s="66"/>
      <c r="E160" s="30">
        <f>SUM(E161:E166)</f>
        <v>8111956</v>
      </c>
      <c r="F160" s="30"/>
      <c r="G160" s="30"/>
      <c r="H160" s="30">
        <f t="shared" si="32"/>
        <v>811.2</v>
      </c>
      <c r="I160" s="86"/>
      <c r="J160" s="52"/>
      <c r="K160" s="87"/>
      <c r="L160" s="88"/>
      <c r="M160" s="89"/>
      <c r="N160" s="55"/>
      <c r="O160" s="56"/>
    </row>
    <row r="161" s="2" customFormat="1" ht="30" customHeight="1" outlineLevel="1" spans="1:15">
      <c r="A161" s="31">
        <v>1</v>
      </c>
      <c r="B161" s="39" t="s">
        <v>321</v>
      </c>
      <c r="C161" s="37"/>
      <c r="D161" s="38"/>
      <c r="E161" s="35">
        <v>6862260</v>
      </c>
      <c r="F161" s="35"/>
      <c r="G161" s="35"/>
      <c r="H161" s="35">
        <f t="shared" ref="H161:H166" si="33">+E161/10000</f>
        <v>686.23</v>
      </c>
      <c r="I161" s="60"/>
      <c r="J161" s="57"/>
      <c r="K161" s="58"/>
      <c r="L161" s="59"/>
      <c r="M161" s="40">
        <v>686.23</v>
      </c>
      <c r="N161" s="55"/>
      <c r="O161" s="56"/>
    </row>
    <row r="162" s="2" customFormat="1" ht="30" customHeight="1" outlineLevel="1" spans="1:15">
      <c r="A162" s="31">
        <v>2</v>
      </c>
      <c r="B162" s="39" t="s">
        <v>322</v>
      </c>
      <c r="C162" s="37"/>
      <c r="D162" s="38"/>
      <c r="E162" s="35">
        <v>1249696</v>
      </c>
      <c r="F162" s="35"/>
      <c r="G162" s="35"/>
      <c r="H162" s="35">
        <f t="shared" si="33"/>
        <v>124.97</v>
      </c>
      <c r="I162" s="60"/>
      <c r="J162" s="57"/>
      <c r="K162" s="58"/>
      <c r="L162" s="59"/>
      <c r="M162" s="40">
        <v>124.97</v>
      </c>
      <c r="N162" s="55"/>
      <c r="O162" s="56"/>
    </row>
    <row r="163" s="2" customFormat="1" ht="30" customHeight="1" outlineLevel="1" spans="1:15">
      <c r="A163" s="31">
        <v>3</v>
      </c>
      <c r="B163" s="39" t="s">
        <v>323</v>
      </c>
      <c r="C163" s="37"/>
      <c r="D163" s="38"/>
      <c r="E163" s="35">
        <f t="shared" ref="E163:E166" si="34">+I163*D163</f>
        <v>0</v>
      </c>
      <c r="F163" s="35"/>
      <c r="G163" s="35"/>
      <c r="H163" s="35">
        <f t="shared" si="33"/>
        <v>0</v>
      </c>
      <c r="I163" s="60">
        <f>2619.47*1.13</f>
        <v>2960</v>
      </c>
      <c r="J163" s="57"/>
      <c r="K163" s="58"/>
      <c r="L163" s="38">
        <v>3</v>
      </c>
      <c r="M163" s="40"/>
      <c r="N163" s="55"/>
      <c r="O163" s="56"/>
    </row>
    <row r="164" s="2" customFormat="1" ht="30" customHeight="1" outlineLevel="1" spans="1:15">
      <c r="A164" s="31">
        <v>4</v>
      </c>
      <c r="B164" s="39" t="s">
        <v>324</v>
      </c>
      <c r="C164" s="37"/>
      <c r="D164" s="38"/>
      <c r="E164" s="35">
        <f t="shared" si="34"/>
        <v>0</v>
      </c>
      <c r="F164" s="35"/>
      <c r="G164" s="35"/>
      <c r="H164" s="35">
        <f t="shared" si="33"/>
        <v>0</v>
      </c>
      <c r="I164" s="60">
        <f>2975.22*1.13</f>
        <v>3362</v>
      </c>
      <c r="J164" s="57"/>
      <c r="K164" s="58"/>
      <c r="L164" s="38">
        <v>2</v>
      </c>
      <c r="M164" s="40"/>
      <c r="N164" s="55"/>
      <c r="O164" s="56"/>
    </row>
    <row r="165" s="2" customFormat="1" ht="30" customHeight="1" outlineLevel="1" spans="1:15">
      <c r="A165" s="31">
        <v>5</v>
      </c>
      <c r="B165" s="39" t="s">
        <v>325</v>
      </c>
      <c r="C165" s="37"/>
      <c r="D165" s="38"/>
      <c r="E165" s="35">
        <f t="shared" si="34"/>
        <v>0</v>
      </c>
      <c r="F165" s="35"/>
      <c r="G165" s="35"/>
      <c r="H165" s="35">
        <f t="shared" si="33"/>
        <v>0</v>
      </c>
      <c r="I165" s="60">
        <f>3893.81*1.13</f>
        <v>4400.01</v>
      </c>
      <c r="J165" s="57"/>
      <c r="K165" s="58"/>
      <c r="L165" s="38">
        <v>2</v>
      </c>
      <c r="M165" s="40"/>
      <c r="N165" s="55"/>
      <c r="O165" s="56"/>
    </row>
    <row r="166" s="2" customFormat="1" ht="30" customHeight="1" outlineLevel="1" spans="1:15">
      <c r="A166" s="31">
        <v>6</v>
      </c>
      <c r="B166" s="39" t="s">
        <v>326</v>
      </c>
      <c r="C166" s="37"/>
      <c r="D166" s="38"/>
      <c r="E166" s="35">
        <f t="shared" si="34"/>
        <v>0</v>
      </c>
      <c r="F166" s="35"/>
      <c r="G166" s="35"/>
      <c r="H166" s="35">
        <f t="shared" si="33"/>
        <v>0</v>
      </c>
      <c r="I166" s="60">
        <f>4867.26*1.13</f>
        <v>5500</v>
      </c>
      <c r="J166" s="57"/>
      <c r="K166" s="58"/>
      <c r="L166" s="38">
        <f>3+60</f>
        <v>63</v>
      </c>
      <c r="M166" s="40"/>
      <c r="N166" s="55"/>
      <c r="O166" s="56"/>
    </row>
    <row r="167" s="2" customFormat="1" ht="30" customHeight="1" spans="1:15">
      <c r="A167" s="63" t="s">
        <v>327</v>
      </c>
      <c r="B167" s="64" t="s">
        <v>328</v>
      </c>
      <c r="C167" s="65"/>
      <c r="D167" s="66"/>
      <c r="E167" s="30">
        <f>+SUM(E168:E169)</f>
        <v>86127996.55</v>
      </c>
      <c r="F167" s="30"/>
      <c r="G167" s="30"/>
      <c r="H167" s="30">
        <f t="shared" ref="H167:H170" si="35">E167/10000</f>
        <v>8612.8</v>
      </c>
      <c r="I167" s="86"/>
      <c r="J167" s="52"/>
      <c r="K167" s="87"/>
      <c r="L167" s="88"/>
      <c r="M167" s="89"/>
      <c r="N167" s="55"/>
      <c r="O167" s="56"/>
    </row>
    <row r="168" s="2" customFormat="1" ht="30" customHeight="1" outlineLevel="1" spans="1:15">
      <c r="A168" s="31">
        <v>1</v>
      </c>
      <c r="B168" s="39" t="s">
        <v>329</v>
      </c>
      <c r="C168" s="37"/>
      <c r="D168" s="38"/>
      <c r="E168" s="35">
        <v>34142596.55</v>
      </c>
      <c r="F168" s="35"/>
      <c r="G168" s="35"/>
      <c r="H168" s="35">
        <f t="shared" si="35"/>
        <v>3414.26</v>
      </c>
      <c r="I168" s="60"/>
      <c r="J168" s="57"/>
      <c r="K168" s="58"/>
      <c r="L168" s="59"/>
      <c r="M168" s="40"/>
      <c r="N168" s="55"/>
      <c r="O168" s="56"/>
    </row>
    <row r="169" s="2" customFormat="1" ht="30" customHeight="1" outlineLevel="1" spans="1:15">
      <c r="A169" s="31">
        <v>2</v>
      </c>
      <c r="B169" s="39" t="s">
        <v>330</v>
      </c>
      <c r="C169" s="37"/>
      <c r="D169" s="38"/>
      <c r="E169" s="35">
        <f>5198.54*10000</f>
        <v>51985400</v>
      </c>
      <c r="F169" s="35"/>
      <c r="G169" s="35"/>
      <c r="H169" s="35">
        <f t="shared" si="35"/>
        <v>5198.54</v>
      </c>
      <c r="I169" s="60"/>
      <c r="J169" s="57"/>
      <c r="K169" s="58"/>
      <c r="L169" s="59"/>
      <c r="M169" s="40"/>
      <c r="N169" s="55"/>
      <c r="O169" s="56"/>
    </row>
    <row r="170" s="2" customFormat="1" ht="30" customHeight="1" spans="1:15">
      <c r="A170" s="63" t="s">
        <v>331</v>
      </c>
      <c r="B170" s="64" t="s">
        <v>332</v>
      </c>
      <c r="C170" s="65"/>
      <c r="D170" s="66"/>
      <c r="E170" s="30">
        <f>SUM(E171:E173)</f>
        <v>7542704</v>
      </c>
      <c r="F170" s="30"/>
      <c r="G170" s="30"/>
      <c r="H170" s="30">
        <f t="shared" si="35"/>
        <v>754.27</v>
      </c>
      <c r="I170" s="86"/>
      <c r="J170" s="52"/>
      <c r="K170" s="87"/>
      <c r="L170" s="88"/>
      <c r="M170" s="89"/>
      <c r="N170" s="55"/>
      <c r="O170" s="56"/>
    </row>
    <row r="171" s="2" customFormat="1" ht="30" customHeight="1" outlineLevel="1" spans="1:15">
      <c r="A171" s="31">
        <v>1</v>
      </c>
      <c r="B171" s="39" t="s">
        <v>333</v>
      </c>
      <c r="C171" s="37"/>
      <c r="D171" s="38"/>
      <c r="E171" s="35">
        <v>2745000</v>
      </c>
      <c r="F171" s="35"/>
      <c r="G171" s="35"/>
      <c r="H171" s="35">
        <v>274.5</v>
      </c>
      <c r="I171" s="60"/>
      <c r="J171" s="57">
        <v>0.0078</v>
      </c>
      <c r="K171" s="58"/>
      <c r="L171" s="59"/>
      <c r="M171" s="40"/>
      <c r="N171" s="55"/>
      <c r="O171" s="56"/>
    </row>
    <row r="172" s="2" customFormat="1" ht="30" customHeight="1" outlineLevel="1" spans="1:15">
      <c r="A172" s="31">
        <v>2</v>
      </c>
      <c r="B172" s="39" t="s">
        <v>334</v>
      </c>
      <c r="C172" s="37"/>
      <c r="D172" s="38"/>
      <c r="E172" s="35">
        <v>4516920</v>
      </c>
      <c r="F172" s="35"/>
      <c r="G172" s="35"/>
      <c r="H172" s="35">
        <v>451.69</v>
      </c>
      <c r="I172" s="60"/>
      <c r="J172" s="57">
        <v>0.0128</v>
      </c>
      <c r="K172" s="58" t="s">
        <v>335</v>
      </c>
      <c r="L172" s="59"/>
      <c r="M172" s="40"/>
      <c r="N172" s="55"/>
      <c r="O172" s="56"/>
    </row>
    <row r="173" s="2" customFormat="1" ht="30" customHeight="1" outlineLevel="1" spans="1:15">
      <c r="A173" s="31">
        <v>3</v>
      </c>
      <c r="B173" s="39" t="s">
        <v>336</v>
      </c>
      <c r="C173" s="37"/>
      <c r="D173" s="38"/>
      <c r="E173" s="35">
        <v>280784</v>
      </c>
      <c r="F173" s="35"/>
      <c r="G173" s="35"/>
      <c r="H173" s="35">
        <v>28.08</v>
      </c>
      <c r="I173" s="60"/>
      <c r="J173" s="57">
        <v>0.0008</v>
      </c>
      <c r="K173" s="58" t="s">
        <v>337</v>
      </c>
      <c r="L173" s="59"/>
      <c r="M173" s="40"/>
      <c r="N173" s="55"/>
      <c r="O173" s="56"/>
    </row>
    <row r="174" s="2" customFormat="1" ht="30" customHeight="1" spans="1:15">
      <c r="A174" s="63" t="s">
        <v>338</v>
      </c>
      <c r="B174" s="64" t="s">
        <v>339</v>
      </c>
      <c r="C174" s="65" t="s">
        <v>221</v>
      </c>
      <c r="D174" s="66">
        <v>204431.95</v>
      </c>
      <c r="E174" s="30" t="e">
        <f>E5+E127+E158+E160+E167+E170</f>
        <v>#REF!</v>
      </c>
      <c r="F174" s="30"/>
      <c r="G174" s="30"/>
      <c r="H174" s="30" t="e">
        <f>E174/10000</f>
        <v>#REF!</v>
      </c>
      <c r="I174" s="86" t="e">
        <f>E174/D174</f>
        <v>#REF!</v>
      </c>
      <c r="J174" s="52" t="e">
        <f>E174/$E$174</f>
        <v>#REF!</v>
      </c>
      <c r="K174" s="87" t="s">
        <v>340</v>
      </c>
      <c r="L174" s="88"/>
      <c r="M174" s="56"/>
      <c r="N174" s="55"/>
      <c r="O174" s="56"/>
    </row>
    <row r="175" s="2" customFormat="1" ht="36" spans="1:15">
      <c r="A175" s="76" t="s">
        <v>341</v>
      </c>
      <c r="B175" s="77" t="s">
        <v>342</v>
      </c>
      <c r="C175" s="78"/>
      <c r="D175" s="79">
        <f>+D174</f>
        <v>204431.95</v>
      </c>
      <c r="E175" s="80" t="e">
        <f>+E174-E167-E160-E170</f>
        <v>#REF!</v>
      </c>
      <c r="F175" s="80"/>
      <c r="G175" s="80"/>
      <c r="H175" s="30" t="e">
        <f>E175/10000</f>
        <v>#REF!</v>
      </c>
      <c r="I175" s="86" t="e">
        <f>E175/D175</f>
        <v>#REF!</v>
      </c>
      <c r="J175" s="90"/>
      <c r="K175" s="91" t="s">
        <v>343</v>
      </c>
      <c r="L175" s="88"/>
      <c r="M175" s="56"/>
      <c r="N175" s="55"/>
      <c r="O175" s="56"/>
    </row>
    <row r="176" s="4" customFormat="1" ht="18" customHeight="1" spans="1:14">
      <c r="A176" s="81"/>
      <c r="B176" s="82"/>
      <c r="C176" s="83"/>
      <c r="D176" s="84"/>
      <c r="E176" s="85"/>
      <c r="F176" s="85"/>
      <c r="G176" s="85"/>
      <c r="H176" s="85"/>
      <c r="I176" s="92"/>
      <c r="J176" s="93"/>
      <c r="K176" s="94"/>
      <c r="L176" s="95"/>
      <c r="N176" s="96"/>
    </row>
    <row r="177" s="2" customFormat="1" spans="1:14">
      <c r="A177" s="1"/>
      <c r="B177" s="7"/>
      <c r="C177" s="8"/>
      <c r="D177" s="8"/>
      <c r="E177" s="9"/>
      <c r="F177" s="9"/>
      <c r="G177" s="9"/>
      <c r="H177" s="9"/>
      <c r="I177" s="10"/>
      <c r="J177" s="11"/>
      <c r="K177" s="12"/>
      <c r="L177" s="12"/>
      <c r="N177" s="97"/>
    </row>
    <row r="179" s="1" customFormat="1" ht="57.95" customHeight="1" spans="2:14">
      <c r="B179" s="7"/>
      <c r="C179" s="8"/>
      <c r="D179" s="8"/>
      <c r="E179" s="9" t="s">
        <v>344</v>
      </c>
      <c r="F179" s="9"/>
      <c r="G179" s="9"/>
      <c r="H179" s="9">
        <v>40044.55</v>
      </c>
      <c r="I179" s="10"/>
      <c r="J179" s="11"/>
      <c r="K179" s="12"/>
      <c r="L179" s="12"/>
      <c r="N179" s="13"/>
    </row>
    <row r="180" s="1" customFormat="1" spans="2:14">
      <c r="B180" s="7"/>
      <c r="C180" s="8"/>
      <c r="D180" s="8"/>
      <c r="E180" s="9"/>
      <c r="F180" s="9"/>
      <c r="G180" s="9"/>
      <c r="H180" s="9"/>
      <c r="I180" s="10"/>
      <c r="J180" s="11"/>
      <c r="K180" s="98"/>
      <c r="L180" s="98"/>
      <c r="N180" s="13"/>
    </row>
    <row r="196" s="5" customFormat="1" spans="1:14">
      <c r="A196" s="1"/>
      <c r="B196" s="7"/>
      <c r="C196" s="8"/>
      <c r="D196" s="8"/>
      <c r="E196" s="9"/>
      <c r="F196" s="9"/>
      <c r="G196" s="9"/>
      <c r="H196" s="9"/>
      <c r="I196" s="10"/>
      <c r="J196" s="11"/>
      <c r="K196" s="12"/>
      <c r="L196" s="12"/>
      <c r="N196" s="99"/>
    </row>
    <row r="198" s="6" customFormat="1" spans="1:14">
      <c r="A198" s="1"/>
      <c r="B198" s="7"/>
      <c r="C198" s="8"/>
      <c r="D198" s="8"/>
      <c r="E198" s="9"/>
      <c r="F198" s="9"/>
      <c r="G198" s="9"/>
      <c r="H198" s="9"/>
      <c r="I198" s="10"/>
      <c r="J198" s="11"/>
      <c r="K198" s="12"/>
      <c r="L198" s="12"/>
      <c r="N198" s="100"/>
    </row>
    <row r="202" s="5" customFormat="1" spans="1:14">
      <c r="A202" s="1"/>
      <c r="B202" s="7"/>
      <c r="C202" s="8"/>
      <c r="D202" s="8"/>
      <c r="E202" s="9"/>
      <c r="F202" s="9"/>
      <c r="G202" s="9"/>
      <c r="H202" s="9"/>
      <c r="I202" s="10"/>
      <c r="J202" s="11"/>
      <c r="K202" s="12"/>
      <c r="L202" s="12"/>
      <c r="N202" s="99"/>
    </row>
  </sheetData>
  <mergeCells count="15">
    <mergeCell ref="A1:K1"/>
    <mergeCell ref="A2:K2"/>
    <mergeCell ref="L3:N3"/>
    <mergeCell ref="A3:A4"/>
    <mergeCell ref="B3:B4"/>
    <mergeCell ref="C3:C4"/>
    <mergeCell ref="D3:D4"/>
    <mergeCell ref="E3:E4"/>
    <mergeCell ref="H3:H4"/>
    <mergeCell ref="I3:I4"/>
    <mergeCell ref="J3:J4"/>
    <mergeCell ref="K3:K4"/>
    <mergeCell ref="L40:L47"/>
    <mergeCell ref="M40:M47"/>
    <mergeCell ref="N40:N4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概算审查表</vt:lpstr>
      <vt:lpstr>二类费用计算明细表</vt:lpstr>
      <vt:lpstr>造价咨询费</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梁晶玲</dc:creator>
  <cp:lastModifiedBy>HP</cp:lastModifiedBy>
  <dcterms:created xsi:type="dcterms:W3CDTF">2018-03-31T02:53:00Z</dcterms:created>
  <cp:lastPrinted>2018-08-26T19:32:00Z</cp:lastPrinted>
  <dcterms:modified xsi:type="dcterms:W3CDTF">2026-05-13T09:32:45Z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9312C33AAFA80E5CBB62D869E1A4B9B2</vt:lpwstr>
  </property>
  <property fmtid="{D5CDD505-2E9C-101B-9397-08002B2CF9AE}" pid="4" name="KSOReadingLayout">
    <vt:bool>true</vt:bool>
  </property>
</Properties>
</file>