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概算审查表!$A$1:$F$44</definedName>
    <definedName name="_xlnm.Print_Titles" localSheetId="0">概算审查表!$1:$4</definedName>
    <definedName name="_xlnm._FilterDatabase" localSheetId="0" hidden="1">概算审查表!$A$1:$F$44</definedName>
  </definedNames>
  <calcPr calcId="144525" fullPrecision="0"/>
</workbook>
</file>

<file path=xl/sharedStrings.xml><?xml version="1.0" encoding="utf-8"?>
<sst xmlns="http://schemas.openxmlformats.org/spreadsheetml/2006/main" count="650" uniqueCount="364">
  <si>
    <t>附件：</t>
  </si>
  <si>
    <t>珠海市车驾管综合服务中心异地重建项目（一期）（不含信息化）设计概算核定表</t>
  </si>
  <si>
    <t>单位：万元　</t>
  </si>
  <si>
    <t>序号</t>
  </si>
  <si>
    <t>项目名称</t>
  </si>
  <si>
    <t>申报概算</t>
  </si>
  <si>
    <t>核定概算</t>
  </si>
  <si>
    <t>核定增减额</t>
  </si>
  <si>
    <t>备    注</t>
  </si>
  <si>
    <t>静态总投资</t>
  </si>
  <si>
    <t>一+二+三+四+五</t>
  </si>
  <si>
    <t>一</t>
  </si>
  <si>
    <t>建安工程费</t>
  </si>
  <si>
    <t>总建筑面积12039.78㎡，经济指标14494.2元/㎡</t>
  </si>
  <si>
    <t>土石方及软基处理工程</t>
  </si>
  <si>
    <t>包括场地内大土方开挖及回填、边坡挡土墙、鱼塘底换填、软基处理（强夯）等，用地面积204431.95㎡，经济指标223.18元/㎡。</t>
  </si>
  <si>
    <t>业务楼及业务用房工程</t>
  </si>
  <si>
    <t>包括1#业务楼、2#业务楼、3#业务楼、后勤楼、查验中心、风雨连廊等工程，建筑面积10636.9㎡，经济指标3701.5元/㎡</t>
  </si>
  <si>
    <t>附属用房工程</t>
  </si>
  <si>
    <t>包括1#门卫室、2#门卫室及大门、污水处理站、10KV开关站、模拟隧道等工程，建筑面积1403㎡，经济指标4005.7元/㎡</t>
  </si>
  <si>
    <t>室外工程</t>
  </si>
  <si>
    <t>包括室外园建、室外绿化、室外安装工程（电气、消防、给排水）、室外智能化、海绵城市、室外交通设施、现状房屋拆除、市政道路等工程，室外面积208386.11㎡，经济指标352.5元/㎡</t>
  </si>
  <si>
    <t>其他工程</t>
  </si>
  <si>
    <t>包括充电桩工程、光伏发电工程、F17金沙甲线10kV铁塔架空线改电缆接入工程、变配电工程、电梯工程、直饮水工程、临时配电工程、临时用水工程、场地清表工程、抗震支架、智能化、防雷接地等，总建筑面积12039.8㎡，经济指标866.0元/㎡</t>
  </si>
  <si>
    <t>二</t>
  </si>
  <si>
    <t>工程建设其他费用</t>
  </si>
  <si>
    <t>建设项目用地预审选址意见报告书编制费</t>
  </si>
  <si>
    <t>珠审费预〔2022〕313号</t>
  </si>
  <si>
    <t>土地调整、控规调整</t>
  </si>
  <si>
    <t>按合同金额计列</t>
  </si>
  <si>
    <t>占用耕地耕作层剥离再利用方案编制费</t>
  </si>
  <si>
    <t>可研编制费</t>
  </si>
  <si>
    <t>环境影响咨询服务费</t>
  </si>
  <si>
    <t>计价格﹝2002﹞125号</t>
  </si>
  <si>
    <t>测量测绘费</t>
  </si>
  <si>
    <t>暂估</t>
  </si>
  <si>
    <t>工程勘察费</t>
  </si>
  <si>
    <t>珠审费预〔2024〕286号</t>
  </si>
  <si>
    <t>工程设计费</t>
  </si>
  <si>
    <t>珠审费预〔2024〕173号</t>
  </si>
  <si>
    <t>施工图技术审查费</t>
  </si>
  <si>
    <t>珠审费预〔2024〕304号</t>
  </si>
  <si>
    <t>建设工程监理费</t>
  </si>
  <si>
    <t>工程造价咨询服务费</t>
  </si>
  <si>
    <t>场地准备和临时设施费</t>
  </si>
  <si>
    <t>按建安费的0.5%计列</t>
  </si>
  <si>
    <t>检验监测费</t>
  </si>
  <si>
    <t>按建安费的1%计列</t>
  </si>
  <si>
    <t>工程保险费</t>
  </si>
  <si>
    <t>按建安费的0.3%计列</t>
  </si>
  <si>
    <t>水土保持方案编制费</t>
  </si>
  <si>
    <t>珠审费预〔2024〕361号</t>
  </si>
  <si>
    <t>水土保持补偿费</t>
  </si>
  <si>
    <t>暂按申报计列</t>
  </si>
  <si>
    <t>水保监测及验收费用</t>
  </si>
  <si>
    <t>在检验检测费中考虑</t>
  </si>
  <si>
    <t>土壤污染状况调查费</t>
  </si>
  <si>
    <t>珠审费预〔2024〕377号</t>
  </si>
  <si>
    <t>白蚁防治费</t>
  </si>
  <si>
    <t>粤价〔2002〕370号，按3元/平方米计列</t>
  </si>
  <si>
    <t>交通影响评价费</t>
  </si>
  <si>
    <t>地质灾害评估费</t>
  </si>
  <si>
    <t>社会稳定风险评估费</t>
  </si>
  <si>
    <t>节地评价报告编制费</t>
  </si>
  <si>
    <t>人防易地建设费</t>
  </si>
  <si>
    <t>珠发改价格〔2021〕2号</t>
  </si>
  <si>
    <t>三</t>
  </si>
  <si>
    <t>预备费</t>
  </si>
  <si>
    <t>（一+二）*5%</t>
  </si>
  <si>
    <t>四</t>
  </si>
  <si>
    <t>设备购置费</t>
  </si>
  <si>
    <t>包含车内考试设备及配套软件购置费、考试系统设备费、厨房设备、分体空调等设备购置费</t>
  </si>
  <si>
    <t>考试专项设备费</t>
  </si>
  <si>
    <t>厨房设备</t>
  </si>
  <si>
    <t>按可研批复暂列</t>
  </si>
  <si>
    <t>分体空调</t>
  </si>
  <si>
    <t>五</t>
  </si>
  <si>
    <t>土地使用费</t>
  </si>
  <si>
    <t>包含征拆补偿费和耕地占用税</t>
  </si>
  <si>
    <t>征地拆迁补偿费</t>
  </si>
  <si>
    <t>按可研批复暂列，最终以征拆部门核实为准</t>
  </si>
  <si>
    <t>耕地占用税</t>
  </si>
  <si>
    <t>包含金湾区、斗门区耕地占用税，市耕地有偿调剂使用费</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</si>
  <si>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</si>
  <si>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</si>
  <si>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</si>
  <si>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</si>
  <si>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</si>
  <si>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</si>
  <si>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</si>
  <si>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</si>
  <si>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</si>
  <si>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</si>
  <si>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</si>
  <si>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</si>
  <si>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</si>
  <si>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珠海市政府投资工程建设其他费预算核定表(珠审费预(2022)313号)</t>
  </si>
  <si>
    <t>总投资</t>
  </si>
  <si>
    <t>土地利用规划调整费</t>
  </si>
  <si>
    <t>士规调整、控规调整技术咨询费</t>
  </si>
  <si>
    <t>按合同金额计入</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</si>
  <si>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</si>
  <si>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</si>
  <si>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</si>
  <si>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t>
  </si>
  <si>
    <t>(15+(建安费-20000)*(35-15)/(140000-20000))*0.6*0.8*0.8+4</t>
  </si>
  <si>
    <t>计价格 [2002]125号、发改价格[2011]534号，编制环境影响报告表/书，行业调整系数取0.6、敏感程度调整系数取0.8，费率0.8。考虑检测费4万元。</t>
  </si>
  <si>
    <t>勘测定界费、规划放线定位测量、施工放线放样测量、竣工规划验收测量</t>
  </si>
  <si>
    <t>建安费*0.5%</t>
  </si>
  <si>
    <t>珠测[2010]30号、国测财字[2002]3号 暂按（一）*0.5%计取</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</si>
  <si>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</si>
  <si>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</si>
  <si>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</si>
  <si>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</si>
  <si>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</si>
  <si>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</si>
  <si>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施工图审查</t>
  </si>
  <si>
    <t>（设计费+勘察费）*6.5%</t>
  </si>
  <si>
    <t>（工程勘察费+工程设计费）*6.5%</t>
  </si>
  <si>
    <t>（393.4+(建安费-20000)*(708.2-393.4)/(40000-20000)）*0.8</t>
  </si>
  <si>
    <t>按照《建设工程监理与相关服务收费管理规定》（发改价格[2007]670号）所载标准计算，专业调整系数取1.0，工程复杂程度系数取1.0，高程调整系数取1.0，费率0.8</t>
  </si>
  <si>
    <t>全过程造价控制</t>
  </si>
  <si>
    <t>工程预算编制+结算基本收费+钢筋计预埋件</t>
  </si>
  <si>
    <t>《珠海市政府投资项目估（概）算工程建设其他费计费指引（试行）》，按建安费*0.5%暂估</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</si>
  <si>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</si>
  <si>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</si>
  <si>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</si>
  <si>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</si>
  <si>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</si>
  <si>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</si>
  <si>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水土保持方案报告编制</t>
  </si>
  <si>
    <t>珠审费预[2024]361号，暂按审批金额计入</t>
  </si>
  <si>
    <t>珠审费预[2024]377号，暂按审批金额计入</t>
  </si>
  <si>
    <t>预防白蚁等昆虫对建筑物的危害，进行白蚁防治服务</t>
  </si>
  <si>
    <t>建筑面积*3元/m2，独栋厂房按10元/m2计算</t>
  </si>
  <si>
    <t>粤价[2002】370号</t>
  </si>
  <si>
    <t>按合同计入</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</si>
  <si>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</si>
  <si>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</si>
  <si>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</si>
  <si>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</si>
  <si>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</si>
  <si>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</si>
  <si>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</si>
  <si>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</si>
  <si>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</si>
  <si>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</si>
  <si>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</si>
  <si>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</si>
  <si>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</si>
  <si>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</si>
  <si>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</si>
  <si>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</si>
  <si>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</si>
  <si>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</si>
  <si>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</si>
  <si>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</si>
  <si>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</si>
  <si>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</si>
  <si>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</si>
  <si>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</si>
  <si>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</si>
  <si>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</si>
  <si>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</si>
  <si>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</si>
  <si>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</si>
  <si>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</si>
  <si>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</si>
  <si>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</si>
  <si>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</si>
  <si>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</si>
  <si>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</si>
  <si>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</si>
  <si>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</si>
  <si>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</si>
  <si>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</si>
  <si>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</si>
  <si>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</si>
  <si>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</si>
  <si>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</si>
  <si>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</si>
  <si>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</si>
  <si>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</si>
  <si>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</si>
  <si>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</si>
  <si>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</si>
  <si>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</si>
  <si>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</si>
  <si>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</si>
  <si>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</si>
  <si>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</si>
  <si>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</si>
  <si>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</si>
  <si>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</si>
  <si>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</si>
  <si>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</si>
  <si>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</si>
  <si>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</si>
  <si>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</si>
  <si>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</si>
  <si>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</si>
  <si>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</si>
  <si>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</si>
  <si>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</si>
  <si>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</si>
  <si>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</si>
  <si>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</si>
  <si>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</si>
  <si>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</si>
  <si>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</si>
  <si>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</si>
  <si>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</si>
  <si>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</si>
  <si>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</si>
  <si>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</si>
  <si>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</si>
  <si>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</si>
  <si>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</si>
  <si>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</si>
  <si>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</si>
  <si>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</si>
  <si>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</si>
  <si>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</si>
  <si>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</si>
  <si>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</si>
  <si>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</si>
  <si>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</si>
  <si>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</si>
  <si>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</si>
  <si>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</si>
  <si>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</si>
  <si>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</si>
  <si>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</si>
  <si>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</si>
  <si>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</si>
  <si>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</si>
  <si>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</si>
  <si>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</si>
  <si>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</si>
  <si>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</si>
  <si>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</si>
  <si>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</si>
  <si>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</si>
  <si>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</si>
  <si>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</si>
  <si>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</si>
  <si>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</si>
  <si>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</si>
  <si>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</si>
  <si>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</si>
  <si>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</si>
  <si>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</si>
  <si>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</si>
  <si>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</si>
  <si>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</si>
  <si>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</si>
  <si>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</si>
  <si>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</si>
  <si>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</si>
  <si>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</si>
  <si>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</si>
  <si>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</si>
  <si>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</si>
  <si>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</si>
  <si>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</si>
  <si>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</si>
  <si>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</si>
  <si>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</si>
  <si>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</si>
  <si>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</si>
  <si>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</si>
  <si>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</si>
  <si>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</si>
  <si>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</si>
  <si>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</si>
  <si>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</si>
  <si>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</si>
  <si>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</si>
  <si>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</si>
  <si>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</si>
  <si>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</si>
  <si>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</si>
  <si>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</si>
  <si>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</si>
  <si>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</si>
  <si>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</si>
  <si>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</si>
  <si>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</si>
  <si>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</si>
  <si>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</si>
  <si>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</si>
  <si>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</si>
  <si>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</si>
  <si>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</si>
  <si>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</si>
  <si>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</si>
  <si>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</si>
  <si>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</si>
  <si>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</si>
  <si>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</si>
  <si>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</si>
  <si>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</si>
  <si>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</si>
  <si>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</si>
  <si>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</si>
  <si>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</si>
  <si>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</si>
  <si>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</si>
  <si>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</si>
  <si>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</si>
  <si>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</si>
  <si>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</si>
  <si>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</si>
  <si>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</si>
  <si>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</si>
  <si>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</si>
  <si>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</si>
  <si>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</si>
  <si>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</si>
  <si>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</si>
  <si>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</si>
  <si>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</si>
  <si>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</si>
  <si>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</si>
  <si>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</si>
  <si>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</si>
  <si>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</si>
  <si>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</si>
  <si>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</si>
  <si>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</si>
  <si>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</si>
  <si>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</si>
  <si>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</si>
  <si>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</si>
  <si>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</si>
  <si>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</si>
  <si>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</si>
  <si>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</si>
  <si>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</si>
  <si>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</si>
  <si>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</si>
  <si>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</si>
  <si>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考试设备购置费</t>
  </si>
  <si>
    <t>分体空调1P</t>
  </si>
  <si>
    <t>分体空调1.5P</t>
  </si>
  <si>
    <t>分体空调2P</t>
  </si>
  <si>
    <t>分体空调3P</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</si>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</sst>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3">
    <numFmt numFmtId="176" formatCode="[$-F800]dddd\,\ mmmm\ dd\,\ yyyy"/>
    <numFmt numFmtId="43" formatCode="_ * #,##0.00_ ;_ * \-#,##0.00_ ;_ * &quot;-&quot;??_ ;_ @_ "/>
    <numFmt numFmtId="44" formatCode="_ &quot;￥&quot;* #,##0.00_ ;_ &quot;￥&quot;* \-#,##0.00_ ;_ &quot;￥&quot;* &quot;-&quot;??_ ;_ @_ "/>
    <numFmt numFmtId="41" formatCode="_ * #,##0_ ;_ * \-#,##0_ ;_ * &quot;-&quot;_ ;_ @_ "/>
    <numFmt numFmtId="177" formatCode="0_ "/>
    <numFmt numFmtId="178" formatCode="0.000000_ "/>
    <numFmt numFmtId="42" formatCode="_ &quot;￥&quot;* #,##0_ ;_ &quot;￥&quot;* \-#,##0_ ;_ &quot;￥&quot;* &quot;-&quot;_ ;_ @_ "/>
    <numFmt numFmtId="179" formatCode="0.00_);[Red]\(0.00\)"/>
    <numFmt numFmtId="180" formatCode="#,##0.00_ "/>
    <numFmt numFmtId="181" formatCode="0.0%"/>
    <numFmt numFmtId="182" formatCode="0.00_ "/>
    <numFmt numFmtId="183" formatCode="0.000_ "/>
    <numFmt numFmtId="184" formatCode="0.0_ "/>
  </numFmts>
  <fonts count="60">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name val="宋体"/>
      <charset val="0"/>
      <scheme val="minor"/>
    </font>
    <font>
      <sz val="12"/>
      <name val="宋体"/>
      <charset val="0"/>
    </font>
    <font>
      <sz val="12"/>
      <name val="SimSun-ExtB"/>
      <charset val="0"/>
    </font>
    <font>
      <sz val="12"/>
      <name val="宋体"/>
      <charset val="134"/>
      <scheme val="minor"/>
    </font>
    <font>
      <sz val="11"/>
      <color theme="1"/>
      <name val="宋体"/>
      <charset val="134"/>
    </font>
    <font>
      <b/>
      <sz val="20"/>
      <color rgb="FF000000"/>
      <name val="宋体"/>
      <charset val="134"/>
    </font>
    <font>
      <b/>
      <sz val="12"/>
      <color rgb="FF000000"/>
      <name val="宋体"/>
      <charset val="134"/>
      <scheme val="minor"/>
    </font>
    <font>
      <sz val="11"/>
      <color rgb="FF000000"/>
      <name val="宋体"/>
      <charset val="134"/>
    </font>
    <font>
      <sz val="11"/>
      <color rgb="FFFF0000"/>
      <name val="宋体"/>
      <charset val="134"/>
    </font>
    <font>
      <sz val="12"/>
      <color rgb="FFFF0000"/>
      <name val="宋体"/>
      <charset val="134"/>
    </font>
    <font>
      <sz val="12"/>
      <color rgb="FF000000"/>
      <name val="SimSun-ExtB"/>
      <charset val="134"/>
    </font>
    <font>
      <sz val="10"/>
      <name val="微软雅黑"/>
      <charset val="0"/>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0"/>
      <name val="Arial"/>
      <charset val="0"/>
    </font>
    <font>
      <b/>
      <sz val="13"/>
      <color theme="3"/>
      <name val="宋体"/>
      <charset val="134"/>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b/>
      <vertAlign val="superscript"/>
      <sz val="10"/>
      <name val="宋体"/>
      <charset val="134"/>
    </font>
  </fonts>
  <fills count="38">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theme="6" tint="0.799981688894314"/>
        <bgColor indexed="64"/>
      </patternFill>
    </fill>
  </fills>
  <borders count="26">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diagonal/>
    </border>
    <border>
      <left style="thin">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0" fontId="1" fillId="0" borderId="0" applyProtection="false">
      <alignment vertical="center"/>
    </xf>
    <xf numFmtId="0" fontId="1" fillId="0" borderId="0">
      <alignment vertical="center"/>
    </xf>
    <xf numFmtId="0" fontId="39" fillId="35" borderId="0" applyNumberFormat="false" applyBorder="false" applyAlignment="false" applyProtection="false">
      <alignment vertical="center"/>
    </xf>
    <xf numFmtId="0" fontId="41" fillId="27" borderId="0" applyNumberFormat="false" applyBorder="false" applyAlignment="false" applyProtection="false">
      <alignment vertical="center"/>
    </xf>
    <xf numFmtId="0" fontId="41" fillId="25" borderId="0" applyNumberFormat="false" applyBorder="false" applyAlignment="false" applyProtection="false">
      <alignment vertical="center"/>
    </xf>
    <xf numFmtId="0" fontId="39" fillId="23" borderId="0" applyNumberFormat="false" applyBorder="false" applyAlignment="false" applyProtection="false">
      <alignment vertical="center"/>
    </xf>
    <xf numFmtId="0" fontId="39" fillId="28"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39" fillId="1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 fillId="0" borderId="0"/>
    <xf numFmtId="0" fontId="39" fillId="26" borderId="0" applyNumberFormat="false" applyBorder="false" applyAlignment="false" applyProtection="false">
      <alignment vertical="center"/>
    </xf>
    <xf numFmtId="0" fontId="41" fillId="31" borderId="0" applyNumberFormat="false" applyBorder="false" applyAlignment="false" applyProtection="false">
      <alignment vertical="center"/>
    </xf>
    <xf numFmtId="0" fontId="41" fillId="19" borderId="0" applyNumberFormat="false" applyBorder="false" applyAlignment="false" applyProtection="false">
      <alignment vertical="center"/>
    </xf>
    <xf numFmtId="0" fontId="41" fillId="32"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52" fillId="0" borderId="0"/>
    <xf numFmtId="0" fontId="54" fillId="0" borderId="0" applyNumberFormat="false" applyFill="false" applyBorder="false" applyAlignment="false" applyProtection="false">
      <alignment vertical="center"/>
    </xf>
    <xf numFmtId="0" fontId="57" fillId="33" borderId="25" applyNumberFormat="false" applyAlignment="false" applyProtection="false">
      <alignment vertical="center"/>
    </xf>
    <xf numFmtId="0" fontId="1" fillId="0" borderId="0"/>
    <xf numFmtId="0" fontId="51" fillId="0" borderId="23" applyNumberFormat="false" applyFill="false" applyAlignment="false" applyProtection="false">
      <alignment vertical="center"/>
    </xf>
    <xf numFmtId="0" fontId="58" fillId="36" borderId="20" applyNumberFormat="false" applyAlignment="false" applyProtection="false">
      <alignment vertical="center"/>
    </xf>
    <xf numFmtId="0" fontId="49" fillId="0" borderId="0" applyNumberFormat="false" applyFill="false" applyBorder="false" applyAlignment="false" applyProtection="false">
      <alignment vertical="center"/>
    </xf>
    <xf numFmtId="0" fontId="56" fillId="15" borderId="24" applyNumberFormat="false" applyAlignment="false" applyProtection="false">
      <alignment vertical="center"/>
    </xf>
    <xf numFmtId="0" fontId="41" fillId="34" borderId="0" applyNumberFormat="false" applyBorder="false" applyAlignment="false" applyProtection="false">
      <alignment vertical="center"/>
    </xf>
    <xf numFmtId="0" fontId="41" fillId="3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6" fillId="0" borderId="22"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4" fillId="15" borderId="20" applyNumberFormat="false" applyAlignment="false" applyProtection="false">
      <alignment vertical="center"/>
    </xf>
    <xf numFmtId="0" fontId="39"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9" fillId="13" borderId="0" applyNumberFormat="false" applyBorder="false" applyAlignment="false" applyProtection="false">
      <alignment vertical="center"/>
    </xf>
    <xf numFmtId="0" fontId="0" fillId="12" borderId="18" applyNumberFormat="false" applyFont="false" applyAlignment="false" applyProtection="false">
      <alignment vertical="center"/>
    </xf>
    <xf numFmtId="0" fontId="4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3" fillId="0" borderId="23"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43" fillId="0" borderId="19" applyNumberFormat="false" applyFill="false" applyAlignment="false" applyProtection="false">
      <alignment vertical="center"/>
    </xf>
    <xf numFmtId="0" fontId="1" fillId="0" borderId="0">
      <alignment vertical="center"/>
    </xf>
    <xf numFmtId="0" fontId="41" fillId="11" borderId="0" applyNumberFormat="false" applyBorder="false" applyAlignment="false" applyProtection="false">
      <alignment vertical="center"/>
    </xf>
    <xf numFmtId="0" fontId="41" fillId="10"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47" fillId="0" borderId="21" applyNumberFormat="false" applyFill="false" applyAlignment="false" applyProtection="false">
      <alignment vertical="center"/>
    </xf>
    <xf numFmtId="0" fontId="39" fillId="24" borderId="0" applyNumberFormat="false" applyBorder="false" applyAlignment="false" applyProtection="false">
      <alignment vertical="center"/>
    </xf>
    <xf numFmtId="0" fontId="42" fillId="14" borderId="0" applyNumberFormat="false" applyBorder="false" applyAlignment="false" applyProtection="false">
      <alignment vertical="center"/>
    </xf>
    <xf numFmtId="0" fontId="41" fillId="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40" fillId="8" borderId="0" applyNumberFormat="false" applyBorder="false" applyAlignment="false" applyProtection="false">
      <alignment vertical="center"/>
    </xf>
    <xf numFmtId="0" fontId="39" fillId="30" borderId="0" applyNumberFormat="false" applyBorder="false" applyAlignment="false" applyProtection="false">
      <alignment vertical="center"/>
    </xf>
    <xf numFmtId="0" fontId="39" fillId="7" borderId="0" applyNumberFormat="false" applyBorder="false" applyAlignment="false" applyProtection="false">
      <alignment vertical="center"/>
    </xf>
    <xf numFmtId="0" fontId="41" fillId="29" borderId="0" applyNumberFormat="false" applyBorder="false" applyAlignment="false" applyProtection="false">
      <alignment vertical="center"/>
    </xf>
  </cellStyleXfs>
  <cellXfs count="266">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xf>
    <xf numFmtId="18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1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180" fontId="1" fillId="0" borderId="0" xfId="0" applyNumberFormat="true" applyFont="true" applyFill="true" applyBorder="true" applyAlignment="true">
      <alignment vertical="center"/>
    </xf>
    <xf numFmtId="0" fontId="6" fillId="0" borderId="0" xfId="0" applyFont="true" applyFill="true" applyBorder="true" applyAlignment="true">
      <alignment horizontal="center" vertical="center"/>
    </xf>
    <xf numFmtId="0" fontId="1" fillId="0" borderId="0" xfId="20" applyFont="true" applyFill="true" applyBorder="true" applyAlignment="true">
      <alignment horizontal="center" vertical="center" wrapText="true"/>
    </xf>
    <xf numFmtId="0" fontId="3" fillId="0" borderId="1" xfId="20" applyFont="true" applyFill="true" applyBorder="true" applyAlignment="true">
      <alignment horizontal="center" vertical="center"/>
    </xf>
    <xf numFmtId="0" fontId="3" fillId="0" borderId="2" xfId="20" applyFont="true" applyFill="true" applyBorder="true" applyAlignment="true">
      <alignment horizontal="center" vertical="center" wrapText="true"/>
    </xf>
    <xf numFmtId="0" fontId="3" fillId="0" borderId="3" xfId="20" applyFont="true" applyFill="true" applyBorder="true" applyAlignment="true">
      <alignment horizontal="center" vertical="center"/>
    </xf>
    <xf numFmtId="0" fontId="3" fillId="0" borderId="4" xfId="20" applyFont="true" applyFill="true" applyBorder="true" applyAlignment="true">
      <alignment horizontal="center" vertical="center" wrapText="true"/>
    </xf>
    <xf numFmtId="0" fontId="3" fillId="0" borderId="4" xfId="20" applyFont="true" applyFill="true" applyBorder="true" applyAlignment="true">
      <alignment horizontal="center" vertical="center"/>
    </xf>
    <xf numFmtId="0" fontId="3" fillId="2" borderId="3" xfId="20" applyFont="true" applyFill="true" applyBorder="true" applyAlignment="true">
      <alignment horizontal="center" vertical="center"/>
    </xf>
    <xf numFmtId="0" fontId="3" fillId="2" borderId="4" xfId="20" applyFont="true" applyFill="true" applyBorder="true" applyAlignment="true">
      <alignment horizontal="left" vertical="center" wrapText="true"/>
    </xf>
    <xf numFmtId="0" fontId="3" fillId="2" borderId="4" xfId="20" applyFont="true" applyFill="true" applyBorder="true" applyAlignment="true">
      <alignment horizontal="center" vertical="center"/>
    </xf>
    <xf numFmtId="182" fontId="3" fillId="2" borderId="4" xfId="20" applyNumberFormat="true" applyFont="true" applyFill="true" applyBorder="true" applyAlignment="true">
      <alignment horizontal="center" vertical="center"/>
    </xf>
    <xf numFmtId="0" fontId="7" fillId="0" borderId="3" xfId="20" applyFont="true" applyFill="true" applyBorder="true" applyAlignment="true">
      <alignment horizontal="center" vertical="center"/>
    </xf>
    <xf numFmtId="0" fontId="2" fillId="0" borderId="4" xfId="20" applyFont="true" applyFill="true" applyBorder="true" applyAlignment="true">
      <alignment horizontal="left" vertical="center" wrapText="true"/>
    </xf>
    <xf numFmtId="0" fontId="2" fillId="0" borderId="4" xfId="20" applyFont="true" applyFill="true" applyBorder="true" applyAlignment="true">
      <alignment horizontal="center" vertical="center"/>
    </xf>
    <xf numFmtId="182" fontId="2" fillId="0" borderId="4" xfId="20" applyNumberFormat="true" applyFont="true" applyFill="true" applyBorder="true" applyAlignment="true">
      <alignment horizontal="center" vertical="center"/>
    </xf>
    <xf numFmtId="0" fontId="7" fillId="0" borderId="4" xfId="20" applyFont="true" applyFill="true" applyBorder="true" applyAlignment="true">
      <alignment horizontal="left" vertical="center" wrapText="true"/>
    </xf>
    <xf numFmtId="0" fontId="8" fillId="0" borderId="4" xfId="20" applyFont="true" applyFill="true" applyBorder="true" applyAlignment="true">
      <alignment horizontal="center" vertical="center"/>
    </xf>
    <xf numFmtId="182" fontId="7" fillId="0" borderId="4" xfId="20" applyNumberFormat="true" applyFont="true" applyFill="true" applyBorder="true" applyAlignment="true">
      <alignment horizontal="center" vertical="center"/>
    </xf>
    <xf numFmtId="0" fontId="7" fillId="0" borderId="4" xfId="20" applyFont="true" applyFill="true" applyBorder="true" applyAlignment="true">
      <alignment vertical="center" wrapText="true"/>
    </xf>
    <xf numFmtId="182" fontId="2" fillId="0" borderId="4" xfId="20" applyNumberFormat="true" applyFont="true" applyFill="true" applyBorder="true" applyAlignment="true">
      <alignment horizontal="center" vertical="center" wrapText="true"/>
    </xf>
    <xf numFmtId="180" fontId="6" fillId="0" borderId="0" xfId="0" applyNumberFormat="true" applyFont="true" applyFill="true" applyBorder="true" applyAlignment="true">
      <alignment horizontal="center" vertical="center"/>
    </xf>
    <xf numFmtId="180" fontId="1" fillId="0" borderId="0" xfId="20" applyNumberFormat="true" applyFont="true" applyFill="true" applyBorder="true" applyAlignment="true">
      <alignment horizontal="center" vertical="center" wrapText="true"/>
    </xf>
    <xf numFmtId="180" fontId="3" fillId="0" borderId="2" xfId="20" applyNumberFormat="true" applyFont="true" applyFill="true" applyBorder="true" applyAlignment="true">
      <alignment horizontal="center" vertical="center" wrapText="true"/>
    </xf>
    <xf numFmtId="180" fontId="3" fillId="0" borderId="4" xfId="20" applyNumberFormat="true" applyFont="true" applyFill="true" applyBorder="true" applyAlignment="true">
      <alignment horizontal="center" vertical="center" wrapText="true"/>
    </xf>
    <xf numFmtId="43" fontId="3" fillId="2" borderId="4" xfId="20" applyNumberFormat="true" applyFont="true" applyFill="true" applyBorder="true" applyAlignment="true">
      <alignment horizontal="center" vertical="center"/>
    </xf>
    <xf numFmtId="180" fontId="3" fillId="2" borderId="4" xfId="20" applyNumberFormat="true" applyFont="true" applyFill="true" applyBorder="true" applyAlignment="true">
      <alignment horizontal="center" vertical="center" wrapText="true"/>
    </xf>
    <xf numFmtId="180" fontId="2" fillId="0" borderId="4" xfId="20" applyNumberFormat="true" applyFont="true" applyFill="true" applyBorder="true" applyAlignment="true">
      <alignment horizontal="center" vertical="center" wrapText="true"/>
    </xf>
    <xf numFmtId="10" fontId="6" fillId="0" borderId="0" xfId="0" applyNumberFormat="true" applyFont="true" applyFill="true" applyBorder="true" applyAlignment="true">
      <alignment horizontal="center" vertical="center"/>
    </xf>
    <xf numFmtId="10" fontId="1" fillId="0" borderId="0" xfId="20" applyNumberFormat="true" applyFont="true" applyFill="true" applyBorder="true" applyAlignment="true">
      <alignment horizontal="center" vertical="center" wrapText="true"/>
    </xf>
    <xf numFmtId="10" fontId="3" fillId="0" borderId="2" xfId="20" applyNumberFormat="true" applyFont="true" applyFill="true" applyBorder="true" applyAlignment="true">
      <alignment horizontal="center" vertical="center" wrapText="true"/>
    </xf>
    <xf numFmtId="0" fontId="3" fillId="0" borderId="5" xfId="20" applyNumberFormat="true" applyFont="true" applyFill="true" applyBorder="true" applyAlignment="true" applyProtection="true">
      <alignment horizontal="center" vertical="center" wrapText="true"/>
      <protection locked="false"/>
    </xf>
    <xf numFmtId="0" fontId="2" fillId="0" borderId="4" xfId="0" applyFont="true" applyFill="true" applyBorder="true" applyAlignment="true">
      <alignment horizontal="center" vertical="center"/>
    </xf>
    <xf numFmtId="10" fontId="3" fillId="0" borderId="4" xfId="20" applyNumberFormat="true" applyFont="true" applyFill="true" applyBorder="true" applyAlignment="true">
      <alignment horizontal="center" vertical="center" wrapText="true"/>
    </xf>
    <xf numFmtId="0" fontId="3" fillId="0" borderId="6" xfId="20" applyNumberFormat="true" applyFont="true" applyFill="true" applyBorder="true" applyAlignment="true" applyProtection="true">
      <alignment horizontal="center" vertical="center" wrapText="true"/>
      <protection locked="false"/>
    </xf>
    <xf numFmtId="0" fontId="3" fillId="0" borderId="4" xfId="20" applyNumberFormat="true" applyFont="true" applyFill="true" applyBorder="true" applyAlignment="true" applyProtection="true">
      <alignment horizontal="center" vertical="center" wrapText="true"/>
      <protection locked="false"/>
    </xf>
    <xf numFmtId="182" fontId="3" fillId="2" borderId="4" xfId="20" applyNumberFormat="true" applyFont="true" applyFill="true" applyBorder="true" applyAlignment="true">
      <alignment horizontal="center" vertical="center" wrapText="true"/>
    </xf>
    <xf numFmtId="10" fontId="3" fillId="2" borderId="6" xfId="20" applyNumberFormat="true" applyFont="true" applyFill="true" applyBorder="true" applyAlignment="true">
      <alignment horizontal="center" vertical="center" wrapText="true"/>
    </xf>
    <xf numFmtId="182" fontId="2" fillId="2" borderId="6" xfId="20" applyNumberFormat="true" applyFont="true" applyFill="true" applyBorder="true" applyAlignment="true">
      <alignment horizontal="left" vertical="center" wrapText="true"/>
    </xf>
    <xf numFmtId="182" fontId="2" fillId="2" borderId="4" xfId="20" applyNumberFormat="true" applyFont="true" applyFill="true" applyBorder="true" applyAlignment="true">
      <alignment horizontal="left" vertical="center" wrapText="true"/>
    </xf>
    <xf numFmtId="10" fontId="2" fillId="0" borderId="6" xfId="20" applyNumberFormat="true" applyFont="true" applyFill="true" applyBorder="true" applyAlignment="true">
      <alignment horizontal="center" vertical="center" wrapText="true"/>
    </xf>
    <xf numFmtId="182" fontId="9" fillId="0" borderId="6" xfId="20" applyNumberFormat="true" applyFont="true" applyFill="true" applyBorder="true" applyAlignment="true">
      <alignment horizontal="left" vertical="center" wrapText="true"/>
    </xf>
    <xf numFmtId="182" fontId="9" fillId="0" borderId="4" xfId="20" applyNumberFormat="true" applyFont="true" applyFill="true" applyBorder="true" applyAlignment="true">
      <alignment horizontal="left" vertical="center" wrapText="true"/>
    </xf>
    <xf numFmtId="182" fontId="2" fillId="0" borderId="4" xfId="0" applyNumberFormat="true" applyFont="true" applyFill="true" applyBorder="true" applyAlignment="true">
      <alignment horizontal="center" vertical="center" wrapText="true"/>
    </xf>
    <xf numFmtId="182" fontId="9" fillId="0" borderId="4" xfId="20" applyNumberFormat="true" applyFont="true" applyFill="true" applyBorder="true" applyAlignment="true">
      <alignment horizontal="center" vertical="center" wrapText="true"/>
    </xf>
    <xf numFmtId="0" fontId="1" fillId="0" borderId="4" xfId="0" applyFont="true" applyFill="true" applyBorder="true" applyAlignment="true">
      <alignment vertical="center"/>
    </xf>
    <xf numFmtId="180" fontId="2" fillId="0" borderId="4" xfId="0" applyNumberFormat="true" applyFont="true" applyFill="true" applyBorder="true" applyAlignment="true">
      <alignment horizontal="center" vertical="center"/>
    </xf>
    <xf numFmtId="180" fontId="2" fillId="0" borderId="4" xfId="0" applyNumberFormat="true" applyFont="true" applyFill="true" applyBorder="true" applyAlignment="true">
      <alignment vertical="center"/>
    </xf>
    <xf numFmtId="0" fontId="2" fillId="0" borderId="4" xfId="0" applyFont="true" applyFill="true" applyBorder="true" applyAlignment="true">
      <alignment vertical="center"/>
    </xf>
    <xf numFmtId="0" fontId="10" fillId="2" borderId="3" xfId="20" applyFont="true" applyFill="true" applyBorder="true" applyAlignment="true">
      <alignment horizontal="center" vertical="center"/>
    </xf>
    <xf numFmtId="0" fontId="10" fillId="2" borderId="4" xfId="20" applyFont="true" applyFill="true" applyBorder="true" applyAlignment="true">
      <alignment vertical="center" wrapText="true"/>
    </xf>
    <xf numFmtId="0" fontId="11" fillId="2" borderId="4" xfId="20" applyFont="true" applyFill="true" applyBorder="true" applyAlignment="true">
      <alignment horizontal="center" vertical="center"/>
    </xf>
    <xf numFmtId="182" fontId="10" fillId="2" borderId="4" xfId="20" applyNumberFormat="true" applyFont="true" applyFill="true" applyBorder="true" applyAlignment="true">
      <alignment horizontal="center" vertical="center"/>
    </xf>
    <xf numFmtId="179" fontId="2" fillId="0" borderId="4" xfId="42" applyNumberFormat="true" applyFont="true" applyFill="true" applyBorder="true" applyAlignment="true">
      <alignment horizontal="left" vertical="center" wrapText="true"/>
    </xf>
    <xf numFmtId="180" fontId="2" fillId="3" borderId="4" xfId="20" applyNumberFormat="true" applyFont="true" applyFill="true" applyBorder="true" applyAlignment="true">
      <alignment horizontal="center" vertical="center" wrapText="true"/>
    </xf>
    <xf numFmtId="182" fontId="3" fillId="2" borderId="6" xfId="20" applyNumberFormat="true" applyFont="true" applyFill="true" applyBorder="true" applyAlignment="true">
      <alignment horizontal="left" vertical="center" wrapText="true"/>
    </xf>
    <xf numFmtId="182" fontId="3" fillId="2" borderId="4" xfId="20" applyNumberFormat="true"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2" fillId="0" borderId="4" xfId="0" applyFont="true" applyFill="true" applyBorder="true" applyAlignment="true">
      <alignment horizontal="left" vertical="center" wrapText="true"/>
    </xf>
    <xf numFmtId="0" fontId="3" fillId="0" borderId="4" xfId="0" applyFont="true" applyFill="true" applyBorder="true" applyAlignment="true">
      <alignment vertical="center"/>
    </xf>
    <xf numFmtId="180" fontId="3" fillId="0" borderId="4" xfId="0" applyNumberFormat="true" applyFont="true" applyFill="true" applyBorder="true" applyAlignment="true">
      <alignment vertical="center"/>
    </xf>
    <xf numFmtId="0" fontId="13" fillId="0" borderId="4" xfId="20" applyFont="true" applyFill="true" applyBorder="true" applyAlignment="true">
      <alignment vertical="center" wrapText="true"/>
    </xf>
    <xf numFmtId="10" fontId="7" fillId="0" borderId="4" xfId="20" applyNumberFormat="true" applyFont="true" applyFill="true" applyBorder="true" applyAlignment="true">
      <alignment horizontal="center" vertical="center"/>
    </xf>
    <xf numFmtId="0" fontId="10" fillId="2" borderId="7" xfId="20" applyFont="true" applyFill="true" applyBorder="true" applyAlignment="true">
      <alignment horizontal="center" vertical="center"/>
    </xf>
    <xf numFmtId="0" fontId="10" fillId="2" borderId="8" xfId="20" applyFont="true" applyFill="true" applyBorder="true" applyAlignment="true">
      <alignment vertical="center" wrapText="true"/>
    </xf>
    <xf numFmtId="0" fontId="11" fillId="2" borderId="8" xfId="20" applyFont="true" applyFill="true" applyBorder="true" applyAlignment="true">
      <alignment horizontal="center" vertical="center"/>
    </xf>
    <xf numFmtId="182" fontId="10" fillId="2" borderId="8" xfId="20" applyNumberFormat="true" applyFont="true" applyFill="true" applyBorder="true" applyAlignment="true">
      <alignment horizontal="center" vertical="center"/>
    </xf>
    <xf numFmtId="0" fontId="7" fillId="0" borderId="9" xfId="20" applyFont="true" applyFill="true" applyBorder="true" applyAlignment="true">
      <alignment horizontal="center"/>
    </xf>
    <xf numFmtId="0" fontId="7" fillId="0" borderId="10" xfId="20" applyFont="true" applyFill="true" applyBorder="true" applyAlignment="true">
      <alignment vertical="center" wrapText="true"/>
    </xf>
    <xf numFmtId="0" fontId="7" fillId="0" borderId="10" xfId="20" applyFont="true" applyFill="true" applyBorder="true" applyAlignment="true">
      <alignment horizontal="center" vertical="center"/>
    </xf>
    <xf numFmtId="182" fontId="7" fillId="0" borderId="10" xfId="20" applyNumberFormat="true" applyFont="true" applyFill="true" applyBorder="true" applyAlignment="true">
      <alignment horizontal="center" vertical="center"/>
    </xf>
    <xf numFmtId="180" fontId="3" fillId="2" borderId="8" xfId="20" applyNumberFormat="true" applyFont="true" applyFill="true" applyBorder="true" applyAlignment="true">
      <alignment horizontal="center" vertical="center" wrapText="true"/>
    </xf>
    <xf numFmtId="180" fontId="2" fillId="0" borderId="10" xfId="20" applyNumberFormat="true" applyFont="true" applyFill="true" applyBorder="true" applyAlignment="true">
      <alignment horizontal="center" vertical="center" wrapText="true"/>
    </xf>
    <xf numFmtId="182" fontId="3" fillId="2" borderId="4" xfId="0" applyNumberFormat="true" applyFont="true" applyFill="true" applyBorder="true" applyAlignment="true">
      <alignment horizontal="center" vertical="center" wrapText="true"/>
    </xf>
    <xf numFmtId="182" fontId="14" fillId="2" borderId="6" xfId="20" applyNumberFormat="true" applyFont="true" applyFill="true" applyBorder="true" applyAlignment="true">
      <alignment horizontal="left" vertical="center" wrapText="true"/>
    </xf>
    <xf numFmtId="182" fontId="14" fillId="2" borderId="4" xfId="20" applyNumberFormat="true" applyFont="true" applyFill="true" applyBorder="true" applyAlignment="true">
      <alignment horizontal="left" vertical="center" wrapText="true"/>
    </xf>
    <xf numFmtId="10" fontId="3" fillId="2" borderId="11" xfId="20" applyNumberFormat="true" applyFont="true" applyFill="true" applyBorder="true" applyAlignment="true">
      <alignment horizontal="center" vertical="center" wrapText="true"/>
    </xf>
    <xf numFmtId="182" fontId="14" fillId="2" borderId="11" xfId="20" applyNumberFormat="true" applyFont="true" applyFill="true" applyBorder="true" applyAlignment="true">
      <alignment horizontal="left" vertical="center" wrapText="true"/>
    </xf>
    <xf numFmtId="182" fontId="2" fillId="0" borderId="10" xfId="0" applyNumberFormat="true" applyFont="true" applyFill="true" applyBorder="true" applyAlignment="true">
      <alignment horizontal="center" vertical="center" wrapText="true"/>
    </xf>
    <xf numFmtId="10" fontId="2" fillId="0" borderId="12" xfId="0" applyNumberFormat="true" applyFont="true" applyFill="true" applyBorder="true" applyAlignment="true">
      <alignment horizontal="center" vertical="center" wrapText="true"/>
    </xf>
    <xf numFmtId="182" fontId="9" fillId="0" borderId="13" xfId="20" applyNumberFormat="true" applyFont="true" applyFill="true" applyBorder="true" applyAlignment="true">
      <alignment horizontal="left" vertical="center" wrapText="true"/>
    </xf>
    <xf numFmtId="182" fontId="9" fillId="0" borderId="0" xfId="20" applyNumberFormat="true" applyFont="true" applyFill="true" applyBorder="true" applyAlignment="true">
      <alignment horizontal="left" vertical="center" wrapText="true"/>
    </xf>
    <xf numFmtId="182" fontId="1" fillId="0" borderId="0" xfId="0" applyNumberFormat="true" applyFont="true" applyFill="true" applyBorder="true" applyAlignment="true">
      <alignment horizontal="left" vertical="center" wrapText="true"/>
    </xf>
    <xf numFmtId="182" fontId="2" fillId="3" borderId="4" xfId="20" applyNumberFormat="true" applyFont="true" applyFill="true" applyBorder="true" applyAlignment="true">
      <alignment horizontal="center" vertical="center" wrapText="true"/>
    </xf>
    <xf numFmtId="180" fontId="3" fillId="0" borderId="0" xfId="0" applyNumberFormat="true" applyFont="true" applyFill="true" applyBorder="true" applyAlignment="true">
      <alignment vertical="center"/>
    </xf>
    <xf numFmtId="180" fontId="2" fillId="0" borderId="0" xfId="0" applyNumberFormat="true" applyFont="true" applyFill="true" applyBorder="true" applyAlignment="true">
      <alignment vertical="center"/>
    </xf>
    <xf numFmtId="180" fontId="4" fillId="0" borderId="0" xfId="0" applyNumberFormat="true" applyFont="true" applyFill="true" applyBorder="true" applyAlignment="true">
      <alignment vertical="center"/>
    </xf>
    <xf numFmtId="180" fontId="5" fillId="0" borderId="0" xfId="0" applyNumberFormat="true" applyFont="true" applyFill="true" applyBorder="true" applyAlignment="true">
      <alignment vertical="center"/>
    </xf>
    <xf numFmtId="0" fontId="1" fillId="0" borderId="0" xfId="2" applyFill="true" applyBorder="true" applyAlignment="true">
      <alignment vertical="center" wrapText="true"/>
    </xf>
    <xf numFmtId="0" fontId="2" fillId="0" borderId="0" xfId="2" applyFont="true" applyFill="true" applyBorder="true" applyAlignment="true">
      <alignment vertical="center" wrapText="true"/>
    </xf>
    <xf numFmtId="0" fontId="1" fillId="0" borderId="0" xfId="2" applyFill="true" applyBorder="true" applyAlignment="true">
      <alignment horizontal="center" vertical="center" wrapText="true"/>
    </xf>
    <xf numFmtId="0" fontId="1" fillId="0" borderId="0" xfId="2" applyFill="true" applyBorder="true" applyAlignment="true">
      <alignment horizontal="left" vertical="center" wrapText="true"/>
    </xf>
    <xf numFmtId="0" fontId="1" fillId="0" borderId="0" xfId="0" applyFont="true" applyFill="true" applyBorder="true" applyAlignment="true"/>
    <xf numFmtId="0" fontId="15" fillId="0" borderId="0" xfId="2" applyFont="true" applyFill="true" applyBorder="true" applyAlignment="true">
      <alignment horizontal="center" vertical="center" wrapText="true"/>
    </xf>
    <xf numFmtId="0" fontId="16" fillId="0" borderId="4" xfId="2" applyFont="true" applyFill="true" applyBorder="true" applyAlignment="true">
      <alignment vertical="center" wrapText="true"/>
    </xf>
    <xf numFmtId="0" fontId="16" fillId="0" borderId="4" xfId="2" applyFont="true" applyFill="true" applyBorder="true" applyAlignment="true">
      <alignment horizontal="center" vertical="center" wrapText="true"/>
    </xf>
    <xf numFmtId="0" fontId="16" fillId="0" borderId="4" xfId="2" applyFont="true" applyFill="true" applyBorder="true" applyAlignment="true">
      <alignment horizontal="left" vertical="center" wrapText="true"/>
    </xf>
    <xf numFmtId="0" fontId="17" fillId="0" borderId="4" xfId="2" applyFont="true" applyFill="true" applyBorder="true" applyAlignment="true">
      <alignment horizontal="center" vertical="center" wrapText="true"/>
    </xf>
    <xf numFmtId="0" fontId="17" fillId="0" borderId="4" xfId="2" applyFont="true" applyFill="true" applyBorder="true" applyAlignment="true">
      <alignment horizontal="left" vertical="center" wrapText="true"/>
    </xf>
    <xf numFmtId="0" fontId="17" fillId="0" borderId="8" xfId="2" applyFont="true" applyFill="true" applyBorder="true" applyAlignment="true">
      <alignment horizontal="center" vertical="center" wrapText="true"/>
    </xf>
    <xf numFmtId="0" fontId="17" fillId="0" borderId="8" xfId="2" applyFont="true" applyFill="true" applyBorder="true" applyAlignment="true">
      <alignment horizontal="left" vertical="center" wrapText="true"/>
    </xf>
    <xf numFmtId="0" fontId="16" fillId="0" borderId="11" xfId="2" applyFont="true" applyFill="true" applyBorder="true" applyAlignment="true">
      <alignment horizontal="center" vertical="center" wrapText="true"/>
    </xf>
    <xf numFmtId="0" fontId="16" fillId="0" borderId="14" xfId="2" applyFont="true" applyFill="true" applyBorder="true" applyAlignment="true">
      <alignment horizontal="center" vertical="center" wrapText="true"/>
    </xf>
    <xf numFmtId="0" fontId="16" fillId="0" borderId="15" xfId="2" applyFont="true" applyFill="true" applyBorder="true" applyAlignment="true">
      <alignment horizontal="center" vertical="center" wrapText="true"/>
    </xf>
    <xf numFmtId="0" fontId="16" fillId="0" borderId="16" xfId="2" applyFont="true" applyFill="true" applyBorder="true" applyAlignment="true">
      <alignment horizontal="center" vertical="center" wrapText="true"/>
    </xf>
    <xf numFmtId="0" fontId="2" fillId="0" borderId="4" xfId="2" applyFont="true" applyFill="true" applyBorder="true" applyAlignment="true">
      <alignment horizontal="center" vertical="center" wrapText="true"/>
    </xf>
    <xf numFmtId="0" fontId="2" fillId="0" borderId="4" xfId="2" applyFont="true" applyFill="true" applyBorder="true" applyAlignment="true">
      <alignment horizontal="left" vertical="center" wrapText="true"/>
    </xf>
    <xf numFmtId="0" fontId="1" fillId="0" borderId="4" xfId="2" applyFill="true" applyBorder="true" applyAlignment="true">
      <alignment vertical="center" wrapText="true"/>
    </xf>
    <xf numFmtId="0" fontId="1" fillId="0" borderId="4" xfId="2" applyFill="true" applyBorder="true" applyAlignment="true">
      <alignment horizontal="center" vertical="center" wrapText="true"/>
    </xf>
    <xf numFmtId="0" fontId="1" fillId="0" borderId="4" xfId="2" applyFill="true" applyBorder="true" applyAlignment="true">
      <alignment horizontal="left" vertical="center" wrapText="true"/>
    </xf>
    <xf numFmtId="182" fontId="16" fillId="0" borderId="4" xfId="2" applyNumberFormat="true" applyFont="true" applyFill="true" applyBorder="true" applyAlignment="true">
      <alignment horizontal="center" vertical="center" wrapText="true"/>
    </xf>
    <xf numFmtId="43" fontId="16" fillId="0" borderId="4" xfId="2" applyNumberFormat="true" applyFont="true" applyFill="true" applyBorder="true" applyAlignment="true">
      <alignment horizontal="center" vertical="center" wrapText="true"/>
    </xf>
    <xf numFmtId="0" fontId="16" fillId="0" borderId="4" xfId="2" applyNumberFormat="true" applyFont="true" applyFill="true" applyBorder="true" applyAlignment="true">
      <alignment horizontal="center" vertical="center" wrapText="true"/>
    </xf>
    <xf numFmtId="0" fontId="17" fillId="0" borderId="4" xfId="2" applyNumberFormat="true" applyFont="true" applyFill="true" applyBorder="true" applyAlignment="true">
      <alignment horizontal="center" vertical="center" wrapText="true"/>
    </xf>
    <xf numFmtId="9" fontId="17" fillId="0" borderId="4" xfId="2" applyNumberFormat="true" applyFont="true" applyFill="true" applyBorder="true" applyAlignment="true">
      <alignment horizontal="center" vertical="center" wrapText="true"/>
    </xf>
    <xf numFmtId="182" fontId="17" fillId="0" borderId="8" xfId="2" applyNumberFormat="true" applyFont="true" applyFill="true" applyBorder="true" applyAlignment="true">
      <alignment horizontal="center" vertical="center" wrapText="true"/>
    </xf>
    <xf numFmtId="43" fontId="17" fillId="0" borderId="8" xfId="2" applyNumberFormat="true" applyFont="true" applyFill="true" applyBorder="true" applyAlignment="true">
      <alignment horizontal="center" vertical="center" wrapText="true"/>
    </xf>
    <xf numFmtId="182" fontId="2" fillId="0" borderId="4" xfId="2" applyNumberFormat="true" applyFont="true" applyFill="true" applyBorder="true" applyAlignment="true">
      <alignment horizontal="center" vertical="center" wrapText="true"/>
    </xf>
    <xf numFmtId="43" fontId="2" fillId="0" borderId="4" xfId="2" applyNumberFormat="true" applyFont="true" applyFill="true" applyBorder="true" applyAlignment="true">
      <alignment horizontal="center" vertical="center" wrapText="true"/>
    </xf>
    <xf numFmtId="0" fontId="16" fillId="3" borderId="4" xfId="2" applyNumberFormat="true" applyFont="true" applyFill="true" applyBorder="true" applyAlignment="true">
      <alignment horizontal="center" vertical="center" wrapText="true"/>
    </xf>
    <xf numFmtId="43" fontId="16" fillId="3" borderId="4" xfId="2" applyNumberFormat="true" applyFont="true" applyFill="true" applyBorder="true" applyAlignment="true">
      <alignment horizontal="center" vertical="center" wrapText="true"/>
    </xf>
    <xf numFmtId="182" fontId="17" fillId="0" borderId="4" xfId="2" applyNumberFormat="true" applyFont="true" applyFill="true" applyBorder="true" applyAlignment="true">
      <alignment horizontal="center" vertical="center" wrapText="true"/>
    </xf>
    <xf numFmtId="178" fontId="16" fillId="0" borderId="4" xfId="2" applyNumberFormat="true" applyFont="true" applyFill="true" applyBorder="true" applyAlignment="true">
      <alignment horizontal="center" vertical="center" wrapText="true"/>
    </xf>
    <xf numFmtId="43" fontId="2" fillId="3" borderId="4" xfId="2" applyNumberFormat="true" applyFont="true" applyFill="true" applyBorder="true" applyAlignment="true">
      <alignment horizontal="center" vertical="center" wrapText="true"/>
    </xf>
    <xf numFmtId="10" fontId="1" fillId="0" borderId="0" xfId="2" applyNumberFormat="true" applyFill="true" applyBorder="true" applyAlignment="true">
      <alignment horizontal="center" vertical="center" wrapText="true"/>
    </xf>
    <xf numFmtId="10" fontId="1" fillId="0" borderId="0" xfId="2" applyNumberFormat="true" applyFont="true" applyFill="true" applyBorder="true" applyAlignment="true">
      <alignment horizontal="center" vertical="center" wrapText="true"/>
    </xf>
    <xf numFmtId="183" fontId="2" fillId="0" borderId="0" xfId="2" applyNumberFormat="true" applyFont="true" applyFill="true" applyBorder="true" applyAlignment="true">
      <alignment vertical="center" wrapText="true"/>
    </xf>
    <xf numFmtId="182" fontId="17" fillId="0" borderId="17" xfId="2" applyNumberFormat="true" applyFont="true" applyFill="true" applyBorder="true" applyAlignment="true">
      <alignment horizontal="center" vertical="center" wrapText="true"/>
    </xf>
    <xf numFmtId="180" fontId="16" fillId="0" borderId="4" xfId="2" applyNumberFormat="true" applyFont="true" applyFill="true" applyBorder="true" applyAlignment="true">
      <alignment horizontal="center" vertical="center" wrapText="true"/>
    </xf>
    <xf numFmtId="182" fontId="2" fillId="0" borderId="0" xfId="2" applyNumberFormat="true" applyFont="true" applyFill="true" applyBorder="true" applyAlignment="true">
      <alignment vertical="center" wrapText="true"/>
    </xf>
    <xf numFmtId="0" fontId="18" fillId="0" borderId="0" xfId="0" applyFont="true" applyFill="true" applyBorder="true" applyAlignment="true">
      <alignment vertical="center"/>
    </xf>
    <xf numFmtId="0" fontId="18" fillId="0" borderId="0" xfId="0" applyFont="true" applyFill="true" applyBorder="true" applyAlignment="true">
      <alignment horizontal="left" vertical="center"/>
    </xf>
    <xf numFmtId="0" fontId="8"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3" borderId="0" xfId="0" applyFont="true" applyFill="true" applyBorder="true" applyAlignment="true">
      <alignment vertical="center"/>
    </xf>
    <xf numFmtId="0" fontId="8" fillId="4" borderId="0" xfId="0" applyFont="true" applyFill="true" applyBorder="true" applyAlignment="true">
      <alignment vertical="center"/>
    </xf>
    <xf numFmtId="0" fontId="8" fillId="0" borderId="0" xfId="0" applyFont="true" applyFill="true" applyAlignment="true">
      <alignment vertical="center"/>
    </xf>
    <xf numFmtId="0" fontId="9" fillId="0" borderId="0" xfId="0" applyFont="true" applyFill="true" applyBorder="true" applyAlignment="true"/>
    <xf numFmtId="0" fontId="9" fillId="3" borderId="0" xfId="0" applyFont="true" applyFill="true" applyBorder="true" applyAlignment="true"/>
    <xf numFmtId="0" fontId="2" fillId="3" borderId="0" xfId="0" applyFont="true" applyFill="true" applyBorder="true" applyAlignment="true"/>
    <xf numFmtId="0" fontId="2" fillId="0" borderId="0" xfId="0" applyFont="true" applyFill="true" applyBorder="true" applyAlignment="true"/>
    <xf numFmtId="0" fontId="11" fillId="0" borderId="0" xfId="0"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182" fontId="0" fillId="0" borderId="0" xfId="0" applyNumberFormat="true" applyFont="true" applyFill="true" applyBorder="true" applyAlignment="true">
      <alignment horizontal="left" vertical="center" wrapText="true"/>
    </xf>
    <xf numFmtId="182" fontId="0" fillId="0" borderId="0" xfId="0" applyNumberFormat="true" applyFont="true" applyFill="true" applyBorder="true" applyAlignment="true">
      <alignment vertical="center"/>
    </xf>
    <xf numFmtId="0" fontId="19" fillId="0" borderId="0" xfId="0" applyFont="true" applyFill="true" applyBorder="true" applyAlignment="true">
      <alignment horizontal="center" vertical="center" wrapText="true"/>
    </xf>
    <xf numFmtId="182" fontId="19" fillId="0" borderId="0" xfId="0" applyNumberFormat="true" applyFont="true" applyFill="true" applyBorder="true" applyAlignment="true">
      <alignment horizontal="center" vertical="center" wrapText="true"/>
    </xf>
    <xf numFmtId="0" fontId="20" fillId="0" borderId="0" xfId="0" applyFont="true" applyFill="true" applyBorder="true" applyAlignment="true">
      <alignment horizontal="left" vertical="center" wrapText="true"/>
    </xf>
    <xf numFmtId="182" fontId="20" fillId="0" borderId="0" xfId="0" applyNumberFormat="true" applyFont="true" applyFill="true" applyBorder="true" applyAlignment="true">
      <alignment horizontal="left" vertical="center" wrapText="true"/>
    </xf>
    <xf numFmtId="0" fontId="18" fillId="0" borderId="4" xfId="0" applyFont="true" applyFill="true" applyBorder="true" applyAlignment="true">
      <alignment horizontal="center" vertical="center" wrapText="true"/>
    </xf>
    <xf numFmtId="182" fontId="18" fillId="0" borderId="4"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horizontal="left" vertical="center" wrapText="true"/>
    </xf>
    <xf numFmtId="179" fontId="2" fillId="0" borderId="4" xfId="1" applyNumberFormat="true" applyFont="true" applyFill="true" applyBorder="true" applyAlignment="true">
      <alignment horizontal="center" vertical="center" wrapText="true"/>
    </xf>
    <xf numFmtId="179" fontId="2" fillId="5" borderId="4" xfId="1" applyNumberFormat="true"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179" fontId="9" fillId="0" borderId="4" xfId="42" applyNumberFormat="true" applyFont="true" applyFill="true" applyBorder="true" applyAlignment="true">
      <alignment horizontal="left" vertical="center" wrapText="true"/>
    </xf>
    <xf numFmtId="179" fontId="9" fillId="0" borderId="4" xfId="1" applyNumberFormat="true" applyFont="true" applyFill="true" applyBorder="true" applyAlignment="true">
      <alignment horizontal="center" vertical="center" wrapText="true"/>
    </xf>
    <xf numFmtId="0" fontId="2" fillId="0" borderId="4" xfId="42" applyFont="true" applyFill="true" applyBorder="true" applyAlignment="true">
      <alignment horizontal="left" vertical="center" wrapText="true"/>
    </xf>
    <xf numFmtId="182" fontId="2" fillId="0" borderId="4" xfId="1" applyNumberFormat="true" applyFont="true" applyFill="true" applyBorder="true" applyAlignment="true">
      <alignment horizontal="center" vertical="center" wrapText="true"/>
    </xf>
    <xf numFmtId="182" fontId="2" fillId="5" borderId="4" xfId="1" applyNumberFormat="true" applyFont="true" applyFill="true" applyBorder="true" applyAlignment="true">
      <alignment horizontal="center" vertical="center" wrapText="true"/>
    </xf>
    <xf numFmtId="0" fontId="9" fillId="3" borderId="4" xfId="42" applyFont="true" applyFill="true" applyBorder="true" applyAlignment="true">
      <alignment horizontal="left" vertical="center" wrapText="true"/>
    </xf>
    <xf numFmtId="0" fontId="12" fillId="3" borderId="4" xfId="0" applyFont="true" applyFill="true" applyBorder="true" applyAlignment="true">
      <alignment horizontal="left" vertical="center" wrapText="true"/>
    </xf>
    <xf numFmtId="182" fontId="9" fillId="3" borderId="4" xfId="1" applyNumberFormat="true" applyFont="true" applyFill="true" applyBorder="true" applyAlignment="true">
      <alignment horizontal="center" vertical="center" wrapText="true"/>
    </xf>
    <xf numFmtId="0" fontId="9" fillId="0" borderId="4" xfId="42" applyFont="true" applyFill="true" applyBorder="true" applyAlignment="true">
      <alignment horizontal="left" vertical="center" wrapText="true"/>
    </xf>
    <xf numFmtId="182" fontId="9" fillId="0" borderId="4" xfId="1" applyNumberFormat="true" applyFont="true" applyFill="true" applyBorder="true" applyAlignment="true">
      <alignment horizontal="center" vertical="center" wrapText="true"/>
    </xf>
    <xf numFmtId="179" fontId="2" fillId="0" borderId="4" xfId="1" applyNumberFormat="true" applyFont="true" applyFill="true" applyBorder="true" applyAlignment="true">
      <alignment horizontal="left" vertical="center" wrapText="true"/>
    </xf>
    <xf numFmtId="0" fontId="2" fillId="4" borderId="4" xfId="42" applyFont="true" applyFill="true" applyBorder="true" applyAlignment="true">
      <alignment horizontal="left" vertical="center" wrapText="true"/>
    </xf>
    <xf numFmtId="0" fontId="8" fillId="4" borderId="4" xfId="0" applyFont="true" applyFill="true" applyBorder="true" applyAlignment="true">
      <alignment horizontal="left" vertical="center" wrapText="true"/>
    </xf>
    <xf numFmtId="182" fontId="2" fillId="4" borderId="4" xfId="1" applyNumberFormat="true" applyFont="true" applyFill="true" applyBorder="true" applyAlignment="true">
      <alignment horizontal="center" vertical="center" wrapText="true"/>
    </xf>
    <xf numFmtId="179" fontId="9" fillId="3" borderId="4" xfId="42" applyNumberFormat="true" applyFont="true" applyFill="true" applyBorder="true" applyAlignment="true">
      <alignment horizontal="left" vertical="center" wrapText="true"/>
    </xf>
    <xf numFmtId="182" fontId="9" fillId="5" borderId="4" xfId="1" applyNumberFormat="true" applyFont="true" applyFill="true" applyBorder="true" applyAlignment="true">
      <alignment horizontal="center" vertical="center" wrapText="true"/>
    </xf>
    <xf numFmtId="179" fontId="2" fillId="3" borderId="4" xfId="42" applyNumberFormat="true" applyFont="true" applyFill="true" applyBorder="true" applyAlignment="true">
      <alignment horizontal="left" vertical="center" wrapText="true"/>
    </xf>
    <xf numFmtId="0" fontId="8" fillId="3" borderId="4" xfId="0" applyFont="true" applyFill="true" applyBorder="true" applyAlignment="true">
      <alignment horizontal="left" vertical="center" wrapText="true"/>
    </xf>
    <xf numFmtId="182" fontId="2" fillId="3" borderId="4" xfId="1"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182" fontId="11" fillId="0" borderId="4" xfId="0" applyNumberFormat="true" applyFont="true" applyFill="true" applyBorder="true" applyAlignment="true">
      <alignment horizontal="center" vertical="center" wrapText="true"/>
    </xf>
    <xf numFmtId="179" fontId="2" fillId="5" borderId="4" xfId="1" applyNumberFormat="true" applyFont="true" applyFill="true" applyBorder="true" applyAlignment="true">
      <alignment horizontal="left" vertical="center" wrapText="true"/>
    </xf>
    <xf numFmtId="179" fontId="9" fillId="0" borderId="4" xfId="1" applyNumberFormat="true" applyFont="true" applyFill="true" applyBorder="true" applyAlignment="true">
      <alignment horizontal="left" vertical="center" wrapText="true"/>
    </xf>
    <xf numFmtId="182" fontId="2" fillId="5" borderId="4" xfId="1" applyNumberFormat="true" applyFont="true" applyFill="true" applyBorder="true" applyAlignment="true">
      <alignment horizontal="left" vertical="center" wrapText="true"/>
    </xf>
    <xf numFmtId="0" fontId="21" fillId="0" borderId="4" xfId="0" applyFont="true" applyFill="true" applyBorder="true" applyAlignment="true">
      <alignment horizontal="left" vertical="center" wrapText="true"/>
    </xf>
    <xf numFmtId="182" fontId="2" fillId="0" borderId="4" xfId="1" applyNumberFormat="true" applyFont="true" applyFill="true" applyBorder="true" applyAlignment="true">
      <alignment horizontal="left" vertical="center" wrapText="true"/>
    </xf>
    <xf numFmtId="182" fontId="9" fillId="3" borderId="4" xfId="1" applyNumberFormat="true" applyFont="true" applyFill="true" applyBorder="true" applyAlignment="true">
      <alignment horizontal="left" vertical="center" wrapText="true"/>
    </xf>
    <xf numFmtId="182" fontId="9" fillId="0" borderId="4" xfId="1" applyNumberFormat="true" applyFont="true" applyFill="true" applyBorder="true" applyAlignment="true">
      <alignment horizontal="left" vertical="center" wrapText="true"/>
    </xf>
    <xf numFmtId="182" fontId="2" fillId="4" borderId="4" xfId="1" applyNumberFormat="true" applyFont="true" applyFill="true" applyBorder="true" applyAlignment="true">
      <alignment horizontal="left" vertical="center" wrapText="true"/>
    </xf>
    <xf numFmtId="182" fontId="9" fillId="5" borderId="4" xfId="1" applyNumberFormat="true" applyFont="true" applyFill="true" applyBorder="true" applyAlignment="true">
      <alignment horizontal="left" vertical="center" wrapText="true"/>
    </xf>
    <xf numFmtId="182" fontId="2" fillId="3" borderId="4" xfId="1" applyNumberFormat="true" applyFont="true" applyFill="true" applyBorder="true" applyAlignment="true">
      <alignment horizontal="left" vertical="center" wrapText="true"/>
    </xf>
    <xf numFmtId="0" fontId="8" fillId="3" borderId="0" xfId="0" applyFont="true" applyFill="true" applyBorder="true" applyAlignment="true">
      <alignment vertical="center"/>
    </xf>
    <xf numFmtId="182" fontId="18" fillId="0" borderId="0" xfId="0" applyNumberFormat="true" applyFont="true" applyFill="true" applyBorder="true" applyAlignment="true">
      <alignment vertical="center"/>
    </xf>
    <xf numFmtId="182" fontId="1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vertical="center"/>
    </xf>
    <xf numFmtId="182" fontId="12" fillId="0" borderId="0" xfId="0" applyNumberFormat="true" applyFont="true" applyFill="true" applyBorder="true" applyAlignment="true">
      <alignment horizontal="left" vertical="center"/>
    </xf>
    <xf numFmtId="0" fontId="22" fillId="0" borderId="0" xfId="0" applyFont="true" applyFill="true" applyBorder="true" applyAlignment="true">
      <alignment vertical="center" wrapText="true"/>
    </xf>
    <xf numFmtId="182" fontId="12" fillId="3" borderId="0" xfId="0" applyNumberFormat="true" applyFont="true" applyFill="true" applyBorder="true" applyAlignment="true">
      <alignment vertical="center"/>
    </xf>
    <xf numFmtId="182" fontId="12" fillId="0" borderId="0" xfId="0" applyNumberFormat="true" applyFont="true" applyFill="true" applyBorder="true" applyAlignment="true">
      <alignment vertical="center"/>
    </xf>
    <xf numFmtId="182" fontId="22" fillId="0" borderId="0" xfId="0" applyNumberFormat="true" applyFont="true" applyFill="true" applyBorder="true" applyAlignment="true">
      <alignment vertical="center" wrapText="true"/>
    </xf>
    <xf numFmtId="182" fontId="8" fillId="4" borderId="0" xfId="0" applyNumberFormat="true" applyFont="true" applyFill="true" applyBorder="true" applyAlignment="true">
      <alignment vertical="center"/>
    </xf>
    <xf numFmtId="182" fontId="8" fillId="0" borderId="0" xfId="0" applyNumberFormat="true" applyFont="true" applyFill="true" applyAlignment="true">
      <alignment vertical="center"/>
    </xf>
    <xf numFmtId="182" fontId="9" fillId="0" borderId="0" xfId="0" applyNumberFormat="true" applyFont="true" applyFill="true" applyBorder="true" applyAlignment="true"/>
    <xf numFmtId="182" fontId="9" fillId="3" borderId="0" xfId="0" applyNumberFormat="true" applyFont="true" applyFill="true" applyBorder="true" applyAlignment="true"/>
    <xf numFmtId="182" fontId="2" fillId="3" borderId="0" xfId="0" applyNumberFormat="true" applyFont="true" applyFill="true" applyBorder="true" applyAlignment="true"/>
    <xf numFmtId="182" fontId="2" fillId="0" borderId="0" xfId="0" applyNumberFormat="true" applyFont="true" applyFill="true" applyBorder="true" applyAlignment="true"/>
    <xf numFmtId="182" fontId="11" fillId="0" borderId="0" xfId="0" applyNumberFormat="true" applyFont="true" applyFill="true" applyBorder="true" applyAlignment="true">
      <alignment vertical="center"/>
    </xf>
    <xf numFmtId="0" fontId="4" fillId="0" borderId="0" xfId="0" applyFont="true" applyFill="true" applyBorder="true" applyAlignment="true">
      <alignment vertical="center" wrapText="true"/>
    </xf>
    <xf numFmtId="0" fontId="4" fillId="3" borderId="0" xfId="0" applyFont="true" applyFill="true" applyBorder="true" applyAlignment="true">
      <alignment vertical="center" wrapText="true"/>
    </xf>
    <xf numFmtId="182" fontId="1" fillId="0" borderId="0" xfId="0" applyNumberFormat="true" applyFont="true" applyFill="true" applyBorder="true" applyAlignment="true">
      <alignment horizontal="center" vertical="center" wrapText="true"/>
    </xf>
    <xf numFmtId="184" fontId="1" fillId="0" borderId="0" xfId="0" applyNumberFormat="true" applyFont="true" applyFill="true" applyBorder="true" applyAlignment="true">
      <alignment horizontal="center" vertical="center" wrapText="true"/>
    </xf>
    <xf numFmtId="182" fontId="1" fillId="0" borderId="0" xfId="0" applyNumberFormat="true" applyFont="true" applyFill="true" applyBorder="true" applyAlignment="true">
      <alignment vertical="center" wrapText="true"/>
    </xf>
    <xf numFmtId="0" fontId="23"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left" wrapText="true"/>
    </xf>
    <xf numFmtId="184" fontId="1" fillId="0" borderId="0" xfId="0" applyNumberFormat="true" applyFont="true" applyFill="true" applyBorder="true" applyAlignment="true">
      <alignment horizontal="left" wrapText="true"/>
    </xf>
    <xf numFmtId="0" fontId="24" fillId="0" borderId="0" xfId="0" applyNumberFormat="true" applyFont="true" applyFill="true" applyBorder="true" applyAlignment="true">
      <alignment horizontal="center" vertical="center" wrapText="true"/>
    </xf>
    <xf numFmtId="184" fontId="24"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right" vertical="center" wrapText="true"/>
    </xf>
    <xf numFmtId="184" fontId="1" fillId="0" borderId="0" xfId="0" applyNumberFormat="true" applyFont="true" applyFill="true" applyBorder="true" applyAlignment="true">
      <alignment horizontal="right" vertical="center" wrapText="true"/>
    </xf>
    <xf numFmtId="0" fontId="25" fillId="0" borderId="4" xfId="0" applyNumberFormat="true" applyFont="true" applyFill="true" applyBorder="true" applyAlignment="true">
      <alignment horizontal="center" vertical="center" wrapText="true"/>
    </xf>
    <xf numFmtId="182" fontId="25" fillId="0" borderId="4" xfId="0" applyNumberFormat="true" applyFont="true" applyFill="true" applyBorder="true" applyAlignment="true">
      <alignment horizontal="center" vertical="center" wrapText="true"/>
    </xf>
    <xf numFmtId="184" fontId="25" fillId="0" borderId="4" xfId="0" applyNumberFormat="true" applyFont="true" applyFill="true" applyBorder="true" applyAlignment="true">
      <alignment horizontal="center" vertical="center" wrapText="true"/>
    </xf>
    <xf numFmtId="49" fontId="25" fillId="0" borderId="4" xfId="0" applyNumberFormat="true" applyFont="true" applyFill="true" applyBorder="true" applyAlignment="true">
      <alignment horizontal="center" vertical="center" wrapText="true"/>
    </xf>
    <xf numFmtId="184" fontId="26" fillId="0" borderId="4" xfId="0" applyNumberFormat="true" applyFont="true" applyFill="true" applyBorder="true" applyAlignment="true">
      <alignment horizontal="center" vertical="center" wrapText="true"/>
    </xf>
    <xf numFmtId="177" fontId="27" fillId="0" borderId="4" xfId="0" applyNumberFormat="true" applyFont="true" applyFill="true" applyBorder="true" applyAlignment="true">
      <alignment horizontal="center" vertical="center" wrapText="true"/>
    </xf>
    <xf numFmtId="184" fontId="28" fillId="0" borderId="4" xfId="0" applyNumberFormat="true" applyFont="true" applyFill="true" applyBorder="true" applyAlignment="true">
      <alignment horizontal="left" vertical="center" wrapText="true"/>
    </xf>
    <xf numFmtId="184" fontId="29" fillId="0" borderId="4" xfId="0" applyNumberFormat="true" applyFont="true" applyFill="true" applyBorder="true" applyAlignment="true">
      <alignment horizontal="center" vertical="center" wrapText="true"/>
    </xf>
    <xf numFmtId="0" fontId="30" fillId="0" borderId="4" xfId="0" applyNumberFormat="true" applyFont="true" applyFill="true" applyBorder="true" applyAlignment="true">
      <alignment horizontal="left" vertical="center" wrapText="true"/>
    </xf>
    <xf numFmtId="0" fontId="4" fillId="0" borderId="4" xfId="0" applyFont="true" applyFill="true" applyBorder="true" applyAlignment="true">
      <alignment horizontal="center" vertical="center" wrapText="true"/>
    </xf>
    <xf numFmtId="0" fontId="1" fillId="0" borderId="4" xfId="17" applyNumberFormat="true" applyFont="true" applyFill="true" applyBorder="true" applyAlignment="true">
      <alignment horizontal="center" vertical="center" shrinkToFit="true"/>
    </xf>
    <xf numFmtId="179" fontId="1" fillId="0" borderId="4" xfId="42" applyNumberFormat="true" applyFont="true" applyFill="true" applyBorder="true" applyAlignment="true">
      <alignment horizontal="left" vertical="center" wrapText="true"/>
    </xf>
    <xf numFmtId="0" fontId="4" fillId="6" borderId="4" xfId="17" applyNumberFormat="true" applyFont="true" applyFill="true" applyBorder="true" applyAlignment="true">
      <alignment horizontal="center" vertical="center" shrinkToFit="true"/>
    </xf>
    <xf numFmtId="0" fontId="31" fillId="0" borderId="4" xfId="20" applyFont="true" applyFill="true" applyBorder="true" applyAlignment="true">
      <alignment vertical="center" wrapText="true"/>
    </xf>
    <xf numFmtId="184" fontId="31" fillId="0" borderId="4" xfId="2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2" fontId="7" fillId="0" borderId="0" xfId="0" applyNumberFormat="true" applyFont="true" applyFill="true" applyBorder="true" applyAlignment="true">
      <alignment horizontal="center" vertical="center"/>
    </xf>
    <xf numFmtId="49" fontId="23" fillId="0" borderId="0" xfId="0" applyNumberFormat="true" applyFont="true" applyFill="true" applyBorder="true" applyAlignment="true">
      <alignment horizontal="left" wrapText="true"/>
    </xf>
    <xf numFmtId="0" fontId="32" fillId="0" borderId="0" xfId="0" applyNumberFormat="true" applyFont="true" applyFill="true" applyBorder="true" applyAlignment="true">
      <alignment horizontal="center" vertical="center" wrapText="true"/>
    </xf>
    <xf numFmtId="0" fontId="23" fillId="0" borderId="0" xfId="0" applyNumberFormat="true" applyFont="true" applyFill="true" applyBorder="true" applyAlignment="true">
      <alignment horizontal="right" vertical="center" wrapText="true"/>
    </xf>
    <xf numFmtId="0" fontId="33" fillId="0" borderId="4" xfId="0" applyNumberFormat="true" applyFont="true" applyFill="true" applyBorder="true" applyAlignment="true">
      <alignment horizontal="center" vertical="center" wrapText="true"/>
    </xf>
    <xf numFmtId="0" fontId="23" fillId="0" borderId="4" xfId="0" applyNumberFormat="true" applyFont="true" applyFill="true" applyBorder="true" applyAlignment="true">
      <alignment horizontal="left" vertical="center" wrapText="true"/>
    </xf>
    <xf numFmtId="182" fontId="4" fillId="0" borderId="0" xfId="40" applyNumberFormat="true" applyFont="true" applyFill="true" applyBorder="true" applyAlignment="true" applyProtection="true">
      <alignment horizontal="center" vertical="center" wrapText="true"/>
    </xf>
    <xf numFmtId="182" fontId="2" fillId="0" borderId="0" xfId="20" applyNumberFormat="true" applyFont="true" applyFill="true" applyBorder="true" applyAlignment="true">
      <alignment horizontal="center" vertical="center"/>
    </xf>
    <xf numFmtId="0" fontId="34" fillId="0" borderId="4" xfId="0" applyNumberFormat="true" applyFont="true" applyFill="true" applyBorder="true" applyAlignment="true">
      <alignment horizontal="left" vertical="center" wrapText="true"/>
    </xf>
    <xf numFmtId="181" fontId="4" fillId="0" borderId="0" xfId="40" applyNumberFormat="true" applyFont="true" applyFill="true" applyBorder="true" applyAlignment="true">
      <alignment horizontal="center" vertical="center" wrapText="true"/>
    </xf>
    <xf numFmtId="0" fontId="35" fillId="6" borderId="0" xfId="0" applyNumberFormat="true" applyFont="true" applyFill="true" applyBorder="true" applyAlignment="true">
      <alignment horizontal="left" vertical="center" wrapText="true"/>
    </xf>
    <xf numFmtId="0" fontId="36"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182" fontId="26" fillId="0" borderId="0" xfId="0" applyNumberFormat="true" applyFont="true" applyFill="true" applyBorder="true" applyAlignment="true">
      <alignment horizontal="center" vertical="center" wrapText="true"/>
    </xf>
    <xf numFmtId="182" fontId="29" fillId="0" borderId="0" xfId="0" applyNumberFormat="true" applyFont="true" applyFill="true" applyBorder="true" applyAlignment="true">
      <alignment horizontal="center" vertical="center" wrapText="true"/>
    </xf>
    <xf numFmtId="0" fontId="37" fillId="0" borderId="0" xfId="0" applyFont="true" applyFill="true" applyBorder="true" applyAlignment="true">
      <alignment horizontal="center" vertical="center" wrapText="true"/>
    </xf>
    <xf numFmtId="184" fontId="26" fillId="0" borderId="0" xfId="0" applyNumberFormat="true" applyFont="true" applyFill="true" applyBorder="true" applyAlignment="true">
      <alignment horizontal="center" vertical="center" wrapText="true"/>
    </xf>
    <xf numFmtId="176" fontId="38" fillId="0" borderId="0" xfId="0" applyNumberFormat="true" applyFont="true" applyFill="true" applyBorder="true" applyAlignment="true">
      <alignment horizontal="left" vertical="center" wrapText="true"/>
    </xf>
    <xf numFmtId="182" fontId="29" fillId="3" borderId="0" xfId="0" applyNumberFormat="true" applyFont="true" applyFill="true" applyBorder="true" applyAlignment="true">
      <alignment horizontal="center" vertical="center" wrapText="true"/>
    </xf>
  </cellXfs>
  <cellStyles count="55">
    <cellStyle name="常规" xfId="0" builtinId="0"/>
    <cellStyle name="常规 4 2" xfId="1"/>
    <cellStyle name="常规_收费标准计算公式-代理、咨询、监理、设计"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74</xdr:row>
      <xdr:rowOff>146050</xdr:rowOff>
    </xdr:to>
    <xdr:pic>
      <xdr:nvPicPr>
        <xdr:cNvPr id="2" name="图片 1"/>
        <xdr:cNvPicPr>
          <a:picLocks noChangeAspect="true"/>
        </xdr:cNvPicPr>
      </xdr:nvPicPr>
      <xdr:blipFill>
        <a:blip r:embed="rId1"/>
        <a:stretch>
          <a:fillRect/>
        </a:stretch>
      </xdr:blipFill>
      <xdr:spPr>
        <a:xfrm>
          <a:off x="1445260" y="14505940"/>
          <a:ext cx="5207000" cy="4197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50"/>
  <sheetViews>
    <sheetView tabSelected="1" view="pageBreakPreview" zoomScale="115" zoomScaleNormal="100" zoomScaleSheetLayoutView="115" workbookViewId="0">
      <pane xSplit="1" ySplit="4" topLeftCell="B5" activePane="bottomRight" state="frozen"/>
      <selection/>
      <selection pane="topRight"/>
      <selection pane="bottomLeft"/>
      <selection pane="bottomRight" activeCell="G6" sqref="G6"/>
    </sheetView>
  </sheetViews>
  <sheetFormatPr defaultColWidth="9" defaultRowHeight="15.75"/>
  <cols>
    <col min="1" max="1" width="9.5" style="7" customWidth="true"/>
    <col min="2" max="2" width="22.8833333333333" style="7" customWidth="true"/>
    <col min="3" max="3" width="16.5" style="221" customWidth="true"/>
    <col min="4" max="4" width="16.25" style="222" customWidth="true"/>
    <col min="5" max="5" width="16" style="223" customWidth="true"/>
    <col min="6" max="6" width="57.725" style="224" customWidth="true"/>
    <col min="7" max="7" width="21.25" style="7" customWidth="true"/>
    <col min="8" max="8" width="18.25" style="7" customWidth="true"/>
    <col min="9" max="9" width="14.6333333333333" style="7" customWidth="true"/>
    <col min="10" max="10" width="10.3833333333333" style="7"/>
    <col min="11" max="11" width="21.8833333333333" style="7" customWidth="true"/>
    <col min="12" max="12" width="24.525" style="7" customWidth="true"/>
    <col min="13" max="16384" width="9" style="7"/>
  </cols>
  <sheetData>
    <row r="1" ht="15" customHeight="true" spans="1:6">
      <c r="A1" s="225" t="s">
        <v>0</v>
      </c>
      <c r="B1" s="225"/>
      <c r="C1" s="225"/>
      <c r="D1" s="226"/>
      <c r="E1" s="225"/>
      <c r="F1" s="248"/>
    </row>
    <row r="2" ht="51.95" customHeight="true" spans="1:6">
      <c r="A2" s="227" t="s">
        <v>1</v>
      </c>
      <c r="B2" s="227"/>
      <c r="C2" s="227"/>
      <c r="D2" s="228"/>
      <c r="E2" s="227"/>
      <c r="F2" s="249"/>
    </row>
    <row r="3" ht="21.95" customHeight="true" spans="1:6">
      <c r="A3" s="229" t="s">
        <v>2</v>
      </c>
      <c r="B3" s="229"/>
      <c r="C3" s="229"/>
      <c r="D3" s="230"/>
      <c r="E3" s="229"/>
      <c r="F3" s="250"/>
    </row>
    <row r="4" ht="32.25" customHeight="true" spans="1:6">
      <c r="A4" s="231" t="s">
        <v>3</v>
      </c>
      <c r="B4" s="231" t="s">
        <v>4</v>
      </c>
      <c r="C4" s="232" t="s">
        <v>5</v>
      </c>
      <c r="D4" s="233" t="s">
        <v>6</v>
      </c>
      <c r="E4" s="232" t="s">
        <v>7</v>
      </c>
      <c r="F4" s="251" t="s">
        <v>8</v>
      </c>
    </row>
    <row r="5" ht="32.25" customHeight="true" spans="1:12">
      <c r="A5" s="234"/>
      <c r="B5" s="231" t="s">
        <v>9</v>
      </c>
      <c r="C5" s="235">
        <v>36183.5</v>
      </c>
      <c r="D5" s="235">
        <v>31132.8</v>
      </c>
      <c r="E5" s="235">
        <v>-5050.7</v>
      </c>
      <c r="F5" s="252" t="s">
        <v>10</v>
      </c>
      <c r="G5" s="253"/>
      <c r="H5" s="254"/>
      <c r="I5" s="254"/>
      <c r="K5" s="260"/>
      <c r="L5" s="260"/>
    </row>
    <row r="6" ht="45" customHeight="true" spans="1:12">
      <c r="A6" s="234" t="s">
        <v>11</v>
      </c>
      <c r="B6" s="231" t="s">
        <v>12</v>
      </c>
      <c r="C6" s="235">
        <v>20843</v>
      </c>
      <c r="D6" s="235">
        <v>17450.7</v>
      </c>
      <c r="E6" s="235">
        <v>-3392.3</v>
      </c>
      <c r="F6" s="255" t="s">
        <v>13</v>
      </c>
      <c r="G6" s="253"/>
      <c r="H6" s="254"/>
      <c r="I6" s="254"/>
      <c r="K6" s="260"/>
      <c r="L6" s="260"/>
    </row>
    <row r="7" customFormat="true" ht="35" customHeight="true" spans="1:12">
      <c r="A7" s="236">
        <v>1</v>
      </c>
      <c r="B7" s="237" t="s">
        <v>14</v>
      </c>
      <c r="C7" s="238">
        <v>5883.3</v>
      </c>
      <c r="D7" s="238">
        <v>4562.5</v>
      </c>
      <c r="E7" s="238">
        <v>-1320.8</v>
      </c>
      <c r="F7" s="255" t="s">
        <v>15</v>
      </c>
      <c r="G7" s="254"/>
      <c r="H7" s="254"/>
      <c r="I7" s="254"/>
      <c r="J7" s="7"/>
      <c r="K7" s="260"/>
      <c r="L7" s="260"/>
    </row>
    <row r="8" customFormat="true" ht="39" customHeight="true" spans="1:12">
      <c r="A8" s="236">
        <v>2</v>
      </c>
      <c r="B8" s="239" t="s">
        <v>16</v>
      </c>
      <c r="C8" s="238">
        <v>4489.2</v>
      </c>
      <c r="D8" s="238">
        <v>3937.2</v>
      </c>
      <c r="E8" s="238">
        <v>-552</v>
      </c>
      <c r="F8" s="255" t="s">
        <v>17</v>
      </c>
      <c r="G8" s="253"/>
      <c r="H8" s="254"/>
      <c r="I8" s="254"/>
      <c r="J8" s="7"/>
      <c r="K8" s="260"/>
      <c r="L8" s="260"/>
    </row>
    <row r="9" s="1" customFormat="true" ht="40" customHeight="true" spans="1:12">
      <c r="A9" s="236">
        <v>3</v>
      </c>
      <c r="B9" s="239" t="s">
        <v>18</v>
      </c>
      <c r="C9" s="238">
        <v>599.3</v>
      </c>
      <c r="D9" s="238">
        <v>562</v>
      </c>
      <c r="E9" s="238">
        <v>-37.3</v>
      </c>
      <c r="F9" s="255" t="s">
        <v>19</v>
      </c>
      <c r="G9" s="253"/>
      <c r="H9" s="254"/>
      <c r="I9" s="254"/>
      <c r="J9" s="7"/>
      <c r="K9" s="261"/>
      <c r="L9" s="262"/>
    </row>
    <row r="10" s="219" customFormat="true" ht="45" customHeight="true" spans="1:12">
      <c r="A10" s="236">
        <v>4</v>
      </c>
      <c r="B10" s="239" t="s">
        <v>20</v>
      </c>
      <c r="C10" s="238">
        <v>8522.3</v>
      </c>
      <c r="D10" s="238">
        <v>7346.4</v>
      </c>
      <c r="E10" s="238">
        <v>-1175.9</v>
      </c>
      <c r="F10" s="255" t="s">
        <v>21</v>
      </c>
      <c r="G10" s="253"/>
      <c r="H10" s="254"/>
      <c r="I10" s="254"/>
      <c r="J10" s="263"/>
      <c r="K10" s="261"/>
      <c r="L10" s="261"/>
    </row>
    <row r="11" s="219" customFormat="true" ht="57" customHeight="true" spans="1:12">
      <c r="A11" s="236">
        <v>5</v>
      </c>
      <c r="B11" s="237" t="s">
        <v>22</v>
      </c>
      <c r="C11" s="238">
        <v>1348.9</v>
      </c>
      <c r="D11" s="238">
        <v>1042.6</v>
      </c>
      <c r="E11" s="238">
        <v>-306.3</v>
      </c>
      <c r="F11" s="255" t="s">
        <v>23</v>
      </c>
      <c r="G11" s="253"/>
      <c r="H11" s="254"/>
      <c r="I11" s="254"/>
      <c r="J11" s="263"/>
      <c r="K11" s="261"/>
      <c r="L11" s="262"/>
    </row>
    <row r="12" s="219" customFormat="true" ht="38.1" customHeight="true" collapsed="true" spans="1:12">
      <c r="A12" s="240" t="s">
        <v>24</v>
      </c>
      <c r="B12" s="240" t="s">
        <v>25</v>
      </c>
      <c r="C12" s="235">
        <v>1830.8</v>
      </c>
      <c r="D12" s="235">
        <v>1539.2</v>
      </c>
      <c r="E12" s="235">
        <v>-291.6</v>
      </c>
      <c r="F12" s="255"/>
      <c r="G12" s="256"/>
      <c r="H12" s="254"/>
      <c r="I12" s="254"/>
      <c r="J12" s="263"/>
      <c r="K12" s="260"/>
      <c r="L12" s="260"/>
    </row>
    <row r="13" s="219" customFormat="true" ht="41" hidden="true" customHeight="true" outlineLevel="1" spans="1:12">
      <c r="A13" s="241">
        <v>1</v>
      </c>
      <c r="B13" s="242" t="s">
        <v>26</v>
      </c>
      <c r="C13" s="238">
        <v>12</v>
      </c>
      <c r="D13" s="238">
        <v>8</v>
      </c>
      <c r="E13" s="238">
        <v>-4</v>
      </c>
      <c r="F13" s="255" t="s">
        <v>27</v>
      </c>
      <c r="G13" s="10"/>
      <c r="H13" s="254"/>
      <c r="I13" s="254"/>
      <c r="J13" s="264"/>
      <c r="K13" s="221"/>
      <c r="L13" s="261"/>
    </row>
    <row r="14" s="219" customFormat="true" ht="34" hidden="true" customHeight="true" outlineLevel="1" spans="1:12">
      <c r="A14" s="241">
        <v>2</v>
      </c>
      <c r="B14" s="242" t="s">
        <v>28</v>
      </c>
      <c r="C14" s="238">
        <v>36</v>
      </c>
      <c r="D14" s="238">
        <v>24</v>
      </c>
      <c r="E14" s="238">
        <v>-12</v>
      </c>
      <c r="F14" s="255" t="s">
        <v>29</v>
      </c>
      <c r="G14" s="10"/>
      <c r="H14" s="254"/>
      <c r="I14" s="254"/>
      <c r="J14" s="264"/>
      <c r="K14" s="221"/>
      <c r="L14" s="261"/>
    </row>
    <row r="15" s="220" customFormat="true" ht="35" hidden="true" customHeight="true" outlineLevel="1" spans="1:12">
      <c r="A15" s="241">
        <v>3</v>
      </c>
      <c r="B15" s="242" t="s">
        <v>30</v>
      </c>
      <c r="C15" s="238">
        <v>8.5</v>
      </c>
      <c r="D15" s="238">
        <v>8.5</v>
      </c>
      <c r="E15" s="238">
        <v>0</v>
      </c>
      <c r="F15" s="255" t="s">
        <v>29</v>
      </c>
      <c r="G15" s="257"/>
      <c r="H15" s="254"/>
      <c r="I15" s="254"/>
      <c r="J15" s="257"/>
      <c r="K15" s="221"/>
      <c r="L15" s="221"/>
    </row>
    <row r="16" s="219" customFormat="true" ht="35" hidden="true" customHeight="true" outlineLevel="1" spans="1:12">
      <c r="A16" s="241">
        <v>4</v>
      </c>
      <c r="B16" s="242" t="s">
        <v>31</v>
      </c>
      <c r="C16" s="238">
        <v>40.5</v>
      </c>
      <c r="D16" s="238">
        <v>40.5</v>
      </c>
      <c r="E16" s="238">
        <v>0</v>
      </c>
      <c r="F16" s="255" t="s">
        <v>29</v>
      </c>
      <c r="G16" s="10"/>
      <c r="H16" s="254"/>
      <c r="I16" s="254"/>
      <c r="J16" s="264"/>
      <c r="K16" s="261"/>
      <c r="L16" s="261"/>
    </row>
    <row r="17" s="219" customFormat="true" ht="35" hidden="true" customHeight="true" outlineLevel="1" spans="1:12">
      <c r="A17" s="241">
        <v>5</v>
      </c>
      <c r="B17" s="242" t="s">
        <v>32</v>
      </c>
      <c r="C17" s="238">
        <v>9.8</v>
      </c>
      <c r="D17" s="238">
        <v>5.2</v>
      </c>
      <c r="E17" s="238">
        <v>-4.6</v>
      </c>
      <c r="F17" s="255" t="s">
        <v>33</v>
      </c>
      <c r="G17" s="221"/>
      <c r="H17" s="254"/>
      <c r="I17" s="254"/>
      <c r="J17" s="257"/>
      <c r="K17" s="261"/>
      <c r="L17" s="261"/>
    </row>
    <row r="18" s="219" customFormat="true" ht="35" hidden="true" customHeight="true" outlineLevel="1" spans="1:12">
      <c r="A18" s="241">
        <v>6</v>
      </c>
      <c r="B18" s="242" t="s">
        <v>34</v>
      </c>
      <c r="C18" s="238">
        <v>104.2</v>
      </c>
      <c r="D18" s="238">
        <v>50</v>
      </c>
      <c r="E18" s="238">
        <v>-54.2</v>
      </c>
      <c r="F18" s="255" t="s">
        <v>35</v>
      </c>
      <c r="G18" s="221"/>
      <c r="H18" s="254"/>
      <c r="I18" s="254"/>
      <c r="J18" s="264"/>
      <c r="K18" s="261"/>
      <c r="L18" s="221"/>
    </row>
    <row r="19" s="220" customFormat="true" ht="35" hidden="true" customHeight="true" outlineLevel="1" spans="1:12">
      <c r="A19" s="241">
        <v>7</v>
      </c>
      <c r="B19" s="242" t="s">
        <v>36</v>
      </c>
      <c r="C19" s="238">
        <v>90.8</v>
      </c>
      <c r="D19" s="238">
        <v>48.8</v>
      </c>
      <c r="E19" s="238">
        <v>-42</v>
      </c>
      <c r="F19" s="255" t="s">
        <v>37</v>
      </c>
      <c r="G19" s="221"/>
      <c r="H19" s="254"/>
      <c r="I19" s="254"/>
      <c r="J19" s="257"/>
      <c r="K19" s="261"/>
      <c r="L19" s="221"/>
    </row>
    <row r="20" s="220" customFormat="true" ht="35" hidden="true" customHeight="true" outlineLevel="1" spans="1:12">
      <c r="A20" s="241">
        <v>8</v>
      </c>
      <c r="B20" s="242" t="s">
        <v>38</v>
      </c>
      <c r="C20" s="238">
        <v>469.9</v>
      </c>
      <c r="D20" s="238">
        <v>446</v>
      </c>
      <c r="E20" s="238">
        <v>-23.9</v>
      </c>
      <c r="F20" s="255" t="s">
        <v>39</v>
      </c>
      <c r="G20" s="221"/>
      <c r="H20" s="254"/>
      <c r="I20" s="254"/>
      <c r="J20" s="264"/>
      <c r="K20" s="261"/>
      <c r="L20" s="261"/>
    </row>
    <row r="21" s="219" customFormat="true" ht="35" hidden="true" customHeight="true" outlineLevel="1" spans="1:12">
      <c r="A21" s="241">
        <v>9</v>
      </c>
      <c r="B21" s="242" t="s">
        <v>40</v>
      </c>
      <c r="C21" s="238">
        <v>35.4</v>
      </c>
      <c r="D21" s="238">
        <v>32.2</v>
      </c>
      <c r="E21" s="238">
        <v>-3.2</v>
      </c>
      <c r="F21" s="255" t="s">
        <v>41</v>
      </c>
      <c r="G21" s="221"/>
      <c r="H21" s="254"/>
      <c r="I21" s="254"/>
      <c r="J21" s="257"/>
      <c r="K21" s="261"/>
      <c r="L21" s="261"/>
    </row>
    <row r="22" s="220" customFormat="true" ht="44" hidden="true" customHeight="true" outlineLevel="1" spans="1:12">
      <c r="A22" s="241">
        <v>10</v>
      </c>
      <c r="B22" s="242" t="s">
        <v>42</v>
      </c>
      <c r="C22" s="238">
        <v>325.3</v>
      </c>
      <c r="D22" s="238">
        <v>279.1</v>
      </c>
      <c r="E22" s="238">
        <v>-46.2</v>
      </c>
      <c r="F22" s="255" t="s">
        <v>39</v>
      </c>
      <c r="G22" s="221"/>
      <c r="H22" s="254"/>
      <c r="I22" s="254"/>
      <c r="J22" s="264"/>
      <c r="K22" s="261"/>
      <c r="L22" s="221"/>
    </row>
    <row r="23" s="219" customFormat="true" ht="35" hidden="true" customHeight="true" outlineLevel="1" spans="1:12">
      <c r="A23" s="241">
        <v>11</v>
      </c>
      <c r="B23" s="242" t="s">
        <v>43</v>
      </c>
      <c r="C23" s="238">
        <v>101.8</v>
      </c>
      <c r="D23" s="238">
        <v>71.2</v>
      </c>
      <c r="E23" s="238">
        <v>-30.6</v>
      </c>
      <c r="F23" s="255" t="s">
        <v>41</v>
      </c>
      <c r="G23" s="221"/>
      <c r="H23" s="254"/>
      <c r="I23" s="254"/>
      <c r="J23" s="257"/>
      <c r="K23" s="261"/>
      <c r="L23" s="261"/>
    </row>
    <row r="24" s="219" customFormat="true" ht="35" hidden="true" customHeight="true" outlineLevel="1" spans="1:12">
      <c r="A24" s="241">
        <v>12</v>
      </c>
      <c r="B24" s="242" t="s">
        <v>44</v>
      </c>
      <c r="C24" s="238">
        <v>104.2</v>
      </c>
      <c r="D24" s="238">
        <v>87.3</v>
      </c>
      <c r="E24" s="238">
        <v>-16.9</v>
      </c>
      <c r="F24" s="255" t="s">
        <v>45</v>
      </c>
      <c r="G24" s="221"/>
      <c r="H24" s="254"/>
      <c r="I24" s="254"/>
      <c r="J24" s="263"/>
      <c r="K24" s="261"/>
      <c r="L24" s="221"/>
    </row>
    <row r="25" s="219" customFormat="true" ht="35" hidden="true" customHeight="true" outlineLevel="1" spans="1:12">
      <c r="A25" s="241">
        <v>13</v>
      </c>
      <c r="B25" s="242" t="s">
        <v>46</v>
      </c>
      <c r="C25" s="238">
        <v>208.4</v>
      </c>
      <c r="D25" s="238">
        <v>174.5</v>
      </c>
      <c r="E25" s="238">
        <v>-33.9</v>
      </c>
      <c r="F25" s="255" t="s">
        <v>47</v>
      </c>
      <c r="G25" s="221"/>
      <c r="H25" s="254"/>
      <c r="I25" s="254"/>
      <c r="J25" s="257"/>
      <c r="K25" s="261"/>
      <c r="L25" s="221"/>
    </row>
    <row r="26" s="219" customFormat="true" ht="35" hidden="true" customHeight="true" outlineLevel="1" spans="1:12">
      <c r="A26" s="241">
        <v>14</v>
      </c>
      <c r="B26" s="242" t="s">
        <v>48</v>
      </c>
      <c r="C26" s="238">
        <v>62.5</v>
      </c>
      <c r="D26" s="238">
        <v>52.4</v>
      </c>
      <c r="E26" s="238">
        <v>-10.1</v>
      </c>
      <c r="F26" s="255" t="s">
        <v>49</v>
      </c>
      <c r="G26" s="221"/>
      <c r="H26" s="254"/>
      <c r="I26" s="254"/>
      <c r="J26" s="257"/>
      <c r="K26" s="261"/>
      <c r="L26" s="261"/>
    </row>
    <row r="27" s="219" customFormat="true" ht="35" hidden="true" customHeight="true" outlineLevel="1" spans="1:12">
      <c r="A27" s="241">
        <v>15</v>
      </c>
      <c r="B27" s="242" t="s">
        <v>50</v>
      </c>
      <c r="C27" s="238">
        <v>8.5</v>
      </c>
      <c r="D27" s="238">
        <v>8.5</v>
      </c>
      <c r="E27" s="238">
        <v>0</v>
      </c>
      <c r="F27" s="255" t="s">
        <v>51</v>
      </c>
      <c r="G27" s="221"/>
      <c r="H27" s="254"/>
      <c r="I27" s="254"/>
      <c r="J27" s="257"/>
      <c r="K27" s="261"/>
      <c r="L27" s="221"/>
    </row>
    <row r="28" s="219" customFormat="true" ht="35" hidden="true" customHeight="true" outlineLevel="1" spans="1:12">
      <c r="A28" s="241">
        <v>16</v>
      </c>
      <c r="B28" s="242" t="s">
        <v>52</v>
      </c>
      <c r="C28" s="238">
        <v>25</v>
      </c>
      <c r="D28" s="238">
        <v>25</v>
      </c>
      <c r="E28" s="238">
        <v>0</v>
      </c>
      <c r="F28" s="255" t="s">
        <v>53</v>
      </c>
      <c r="G28" s="221"/>
      <c r="H28" s="254"/>
      <c r="I28" s="254"/>
      <c r="J28" s="264"/>
      <c r="K28" s="261"/>
      <c r="L28" s="221"/>
    </row>
    <row r="29" s="219" customFormat="true" ht="35" hidden="true" customHeight="true" outlineLevel="1" spans="1:12">
      <c r="A29" s="241">
        <v>17</v>
      </c>
      <c r="B29" s="242" t="s">
        <v>54</v>
      </c>
      <c r="C29" s="238">
        <v>10</v>
      </c>
      <c r="D29" s="238">
        <v>0</v>
      </c>
      <c r="E29" s="238">
        <v>-10</v>
      </c>
      <c r="F29" s="255" t="s">
        <v>55</v>
      </c>
      <c r="G29" s="10"/>
      <c r="H29" s="254"/>
      <c r="I29" s="254"/>
      <c r="J29" s="257"/>
      <c r="K29" s="261"/>
      <c r="L29" s="261"/>
    </row>
    <row r="30" s="219" customFormat="true" ht="35" hidden="true" customHeight="true" outlineLevel="1" spans="1:12">
      <c r="A30" s="241">
        <v>18</v>
      </c>
      <c r="B30" s="242" t="s">
        <v>56</v>
      </c>
      <c r="C30" s="238">
        <v>29.8</v>
      </c>
      <c r="D30" s="238">
        <v>29.8</v>
      </c>
      <c r="E30" s="238">
        <v>0</v>
      </c>
      <c r="F30" s="255" t="s">
        <v>57</v>
      </c>
      <c r="G30" s="10"/>
      <c r="H30" s="254"/>
      <c r="I30" s="254"/>
      <c r="J30" s="257"/>
      <c r="K30" s="261"/>
      <c r="L30" s="221"/>
    </row>
    <row r="31" s="219" customFormat="true" ht="35" hidden="true" customHeight="true" outlineLevel="1" spans="1:12">
      <c r="A31" s="241">
        <v>19</v>
      </c>
      <c r="B31" s="242" t="s">
        <v>58</v>
      </c>
      <c r="C31" s="238">
        <v>3.6</v>
      </c>
      <c r="D31" s="238">
        <v>3.6</v>
      </c>
      <c r="E31" s="238">
        <v>0</v>
      </c>
      <c r="F31" s="255" t="s">
        <v>59</v>
      </c>
      <c r="G31" s="258"/>
      <c r="H31" s="254"/>
      <c r="I31" s="254"/>
      <c r="J31" s="257"/>
      <c r="K31" s="261"/>
      <c r="L31" s="261"/>
    </row>
    <row r="32" s="219" customFormat="true" ht="35" hidden="true" customHeight="true" outlineLevel="1" spans="1:12">
      <c r="A32" s="241">
        <v>20</v>
      </c>
      <c r="B32" s="242" t="s">
        <v>60</v>
      </c>
      <c r="C32" s="238">
        <v>12.6</v>
      </c>
      <c r="D32" s="238">
        <v>12.6</v>
      </c>
      <c r="E32" s="238">
        <v>0</v>
      </c>
      <c r="F32" s="255" t="s">
        <v>29</v>
      </c>
      <c r="G32" s="258"/>
      <c r="H32" s="254"/>
      <c r="I32" s="254"/>
      <c r="J32" s="257"/>
      <c r="K32" s="261"/>
      <c r="L32" s="261"/>
    </row>
    <row r="33" s="219" customFormat="true" ht="35" hidden="true" customHeight="true" outlineLevel="1" spans="1:12">
      <c r="A33" s="241">
        <v>21</v>
      </c>
      <c r="B33" s="242" t="s">
        <v>61</v>
      </c>
      <c r="C33" s="238">
        <v>14</v>
      </c>
      <c r="D33" s="238">
        <v>14</v>
      </c>
      <c r="E33" s="238">
        <v>0</v>
      </c>
      <c r="F33" s="255" t="s">
        <v>51</v>
      </c>
      <c r="G33" s="258"/>
      <c r="H33" s="254"/>
      <c r="I33" s="254"/>
      <c r="J33" s="257"/>
      <c r="K33" s="261"/>
      <c r="L33" s="261"/>
    </row>
    <row r="34" s="219" customFormat="true" ht="35" hidden="true" customHeight="true" outlineLevel="1" spans="1:12">
      <c r="A34" s="241">
        <v>22</v>
      </c>
      <c r="B34" s="242" t="s">
        <v>62</v>
      </c>
      <c r="C34" s="238">
        <v>8.6</v>
      </c>
      <c r="D34" s="238">
        <v>8.6</v>
      </c>
      <c r="E34" s="238">
        <v>0</v>
      </c>
      <c r="F34" s="255" t="s">
        <v>29</v>
      </c>
      <c r="G34" s="258"/>
      <c r="H34" s="254"/>
      <c r="I34" s="254"/>
      <c r="J34" s="257"/>
      <c r="K34" s="261"/>
      <c r="L34" s="261"/>
    </row>
    <row r="35" s="219" customFormat="true" ht="35" hidden="true" customHeight="true" outlineLevel="1" spans="1:12">
      <c r="A35" s="241">
        <v>23</v>
      </c>
      <c r="B35" s="242" t="s">
        <v>63</v>
      </c>
      <c r="C35" s="238">
        <v>13</v>
      </c>
      <c r="D35" s="238">
        <v>13</v>
      </c>
      <c r="E35" s="238">
        <v>0</v>
      </c>
      <c r="F35" s="255" t="s">
        <v>29</v>
      </c>
      <c r="G35" s="258"/>
      <c r="H35" s="254"/>
      <c r="I35" s="254"/>
      <c r="J35" s="257"/>
      <c r="K35" s="261"/>
      <c r="L35" s="261"/>
    </row>
    <row r="36" s="219" customFormat="true" ht="35" hidden="true" customHeight="true" outlineLevel="1" spans="1:12">
      <c r="A36" s="241">
        <v>24</v>
      </c>
      <c r="B36" s="242" t="s">
        <v>64</v>
      </c>
      <c r="C36" s="238">
        <v>96.4</v>
      </c>
      <c r="D36" s="238">
        <v>96.4</v>
      </c>
      <c r="E36" s="238">
        <v>0</v>
      </c>
      <c r="F36" s="255" t="s">
        <v>65</v>
      </c>
      <c r="G36" s="258"/>
      <c r="H36" s="254"/>
      <c r="I36" s="254"/>
      <c r="J36" s="257"/>
      <c r="K36" s="261"/>
      <c r="L36" s="261"/>
    </row>
    <row r="37" s="219" customFormat="true" ht="36.95" customHeight="true" spans="1:12">
      <c r="A37" s="243" t="s">
        <v>66</v>
      </c>
      <c r="B37" s="240" t="s">
        <v>67</v>
      </c>
      <c r="C37" s="235">
        <v>1133.7</v>
      </c>
      <c r="D37" s="235">
        <v>949.5</v>
      </c>
      <c r="E37" s="235">
        <v>-184.2</v>
      </c>
      <c r="F37" s="255" t="s">
        <v>68</v>
      </c>
      <c r="G37" s="256"/>
      <c r="H37" s="254"/>
      <c r="I37" s="254"/>
      <c r="J37" s="263"/>
      <c r="K37" s="260"/>
      <c r="L37" s="260"/>
    </row>
    <row r="38" s="219" customFormat="true" ht="32.1" customHeight="true" collapsed="true" spans="1:12">
      <c r="A38" s="240" t="s">
        <v>69</v>
      </c>
      <c r="B38" s="240" t="s">
        <v>70</v>
      </c>
      <c r="C38" s="235">
        <v>3008.9</v>
      </c>
      <c r="D38" s="235">
        <v>2195</v>
      </c>
      <c r="E38" s="235">
        <v>-813.9</v>
      </c>
      <c r="F38" s="255" t="s">
        <v>71</v>
      </c>
      <c r="G38" s="259"/>
      <c r="H38" s="254"/>
      <c r="I38" s="254"/>
      <c r="J38" s="263"/>
      <c r="K38" s="260"/>
      <c r="L38" s="260"/>
    </row>
    <row r="39" s="219" customFormat="true" ht="32.1" hidden="true" customHeight="true" outlineLevel="1" spans="1:12">
      <c r="A39" s="241">
        <v>1</v>
      </c>
      <c r="B39" s="244" t="s">
        <v>72</v>
      </c>
      <c r="C39" s="245">
        <v>2883.9</v>
      </c>
      <c r="D39" s="245">
        <v>2025.8</v>
      </c>
      <c r="E39" s="238">
        <v>-858.1</v>
      </c>
      <c r="F39" s="255"/>
      <c r="G39" s="259"/>
      <c r="H39" s="254"/>
      <c r="I39" s="254"/>
      <c r="J39" s="263"/>
      <c r="K39" s="260"/>
      <c r="L39" s="260"/>
    </row>
    <row r="40" s="219" customFormat="true" ht="32.1" hidden="true" customHeight="true" outlineLevel="1" spans="1:12">
      <c r="A40" s="241">
        <v>2</v>
      </c>
      <c r="B40" s="244" t="s">
        <v>73</v>
      </c>
      <c r="C40" s="245">
        <v>125</v>
      </c>
      <c r="D40" s="245">
        <v>125</v>
      </c>
      <c r="E40" s="238">
        <v>0</v>
      </c>
      <c r="F40" s="255" t="s">
        <v>74</v>
      </c>
      <c r="G40" s="259"/>
      <c r="H40" s="254"/>
      <c r="I40" s="254"/>
      <c r="J40" s="263"/>
      <c r="K40" s="261"/>
      <c r="L40" s="265"/>
    </row>
    <row r="41" s="219" customFormat="true" ht="32.1" hidden="true" customHeight="true" outlineLevel="1" spans="1:12">
      <c r="A41" s="241">
        <v>3</v>
      </c>
      <c r="B41" s="244" t="s">
        <v>75</v>
      </c>
      <c r="C41" s="245">
        <v>0</v>
      </c>
      <c r="D41" s="245">
        <v>44.2</v>
      </c>
      <c r="E41" s="238">
        <v>44.2</v>
      </c>
      <c r="F41" s="255"/>
      <c r="G41" s="259"/>
      <c r="H41" s="254"/>
      <c r="I41" s="254"/>
      <c r="J41" s="263"/>
      <c r="K41" s="261"/>
      <c r="L41" s="265"/>
    </row>
    <row r="42" s="219" customFormat="true" ht="32.1" customHeight="true" collapsed="true" spans="1:12">
      <c r="A42" s="240" t="s">
        <v>76</v>
      </c>
      <c r="B42" s="240" t="s">
        <v>77</v>
      </c>
      <c r="C42" s="235">
        <v>9367.1</v>
      </c>
      <c r="D42" s="235">
        <v>8998.4</v>
      </c>
      <c r="E42" s="235">
        <v>-368.7</v>
      </c>
      <c r="F42" s="255" t="s">
        <v>78</v>
      </c>
      <c r="G42" s="259"/>
      <c r="H42" s="254"/>
      <c r="I42" s="254"/>
      <c r="J42" s="263"/>
      <c r="K42" s="261"/>
      <c r="L42" s="261"/>
    </row>
    <row r="43" s="219" customFormat="true" ht="26" hidden="true" customHeight="true" outlineLevel="1" spans="1:12">
      <c r="A43" s="246">
        <v>1</v>
      </c>
      <c r="B43" s="246" t="s">
        <v>79</v>
      </c>
      <c r="C43" s="238">
        <v>8612.8</v>
      </c>
      <c r="D43" s="238">
        <v>8244.1</v>
      </c>
      <c r="E43" s="238">
        <v>-368.7</v>
      </c>
      <c r="F43" s="255" t="s">
        <v>80</v>
      </c>
      <c r="G43" s="259"/>
      <c r="H43" s="254"/>
      <c r="I43" s="254"/>
      <c r="J43" s="263"/>
      <c r="K43" s="260"/>
      <c r="L43" s="260"/>
    </row>
    <row r="44" s="219" customFormat="true" ht="29" hidden="true" customHeight="true" outlineLevel="1" spans="1:12">
      <c r="A44" s="246">
        <v>2</v>
      </c>
      <c r="B44" s="246" t="s">
        <v>81</v>
      </c>
      <c r="C44" s="238">
        <v>754.3</v>
      </c>
      <c r="D44" s="238">
        <v>754.3</v>
      </c>
      <c r="E44" s="238">
        <v>0</v>
      </c>
      <c r="F44" s="255" t="s">
        <v>82</v>
      </c>
      <c r="G44" s="259"/>
      <c r="H44" s="254"/>
      <c r="I44" s="254"/>
      <c r="J44" s="263"/>
      <c r="K44" s="260"/>
      <c r="L44" s="260"/>
    </row>
    <row r="45" s="1" customFormat="true" spans="1:10">
      <c r="A45" s="7"/>
      <c r="B45" s="7"/>
      <c r="C45" s="221"/>
      <c r="D45" s="247"/>
      <c r="E45" s="223"/>
      <c r="F45" s="224"/>
      <c r="G45" s="7"/>
      <c r="H45" s="7"/>
      <c r="I45" s="7"/>
      <c r="J45" s="7"/>
    </row>
    <row r="46" s="1" customFormat="true" spans="1:10">
      <c r="A46" s="7"/>
      <c r="B46" s="7"/>
      <c r="C46" s="221"/>
      <c r="D46" s="222"/>
      <c r="E46" s="223"/>
      <c r="F46" s="224"/>
      <c r="G46" s="7"/>
      <c r="H46" s="7"/>
      <c r="I46" s="7"/>
      <c r="J46" s="7"/>
    </row>
    <row r="47" s="1" customFormat="true" spans="1:10">
      <c r="A47" s="7"/>
      <c r="B47" s="7"/>
      <c r="C47" s="221"/>
      <c r="D47" s="222"/>
      <c r="E47" s="223"/>
      <c r="F47" s="224"/>
      <c r="G47" s="7"/>
      <c r="H47" s="7"/>
      <c r="I47" s="7"/>
      <c r="J47" s="7"/>
    </row>
    <row r="48" s="1" customFormat="true" spans="1:10">
      <c r="A48" s="7"/>
      <c r="B48" s="7"/>
      <c r="C48" s="221"/>
      <c r="D48" s="222"/>
      <c r="E48" s="223"/>
      <c r="F48" s="224"/>
      <c r="G48" s="7"/>
      <c r="H48" s="7"/>
      <c r="I48" s="7"/>
      <c r="J48" s="7"/>
    </row>
    <row r="49" s="1" customFormat="true" spans="1:10">
      <c r="A49" s="7"/>
      <c r="B49" s="7"/>
      <c r="C49" s="221"/>
      <c r="D49" s="222"/>
      <c r="E49" s="223"/>
      <c r="F49" s="224"/>
      <c r="G49" s="7"/>
      <c r="H49" s="7"/>
      <c r="I49" s="7"/>
      <c r="J49" s="7"/>
    </row>
    <row r="50" s="1" customFormat="true" spans="1:10">
      <c r="A50" s="7"/>
      <c r="B50" s="7"/>
      <c r="C50" s="221"/>
      <c r="D50" s="222"/>
      <c r="E50" s="223"/>
      <c r="F50" s="224"/>
      <c r="G50" s="7"/>
      <c r="H50" s="7"/>
      <c r="I50" s="7"/>
      <c r="J50" s="7"/>
    </row>
  </sheetData>
  <mergeCells count="3">
    <mergeCell ref="A1:F1"/>
    <mergeCell ref="A2:F2"/>
    <mergeCell ref="A3:F3"/>
  </mergeCells>
  <pageMargins left="0.551181102362205" right="0.15748031496063" top="0.78740157480315" bottom="0.7874015748031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zoomScaleSheetLayoutView="115" workbookViewId="0">
      <selection activeCell="I8" sqref="I8"/>
    </sheetView>
  </sheetViews>
  <sheetFormatPr defaultColWidth="9" defaultRowHeight="14.25"/>
  <cols>
    <col min="1" max="1" width="5.25833333333333" style="156" customWidth="true"/>
    <col min="2" max="2" width="19.2583333333333" style="157" customWidth="true"/>
    <col min="3" max="3" width="38.8833333333333" style="157" customWidth="true"/>
    <col min="4" max="4" width="10.8833333333333" style="158" customWidth="true"/>
    <col min="5" max="5" width="37" style="157" customWidth="true"/>
    <col min="6" max="6" width="35.3833333333333" style="157" customWidth="true"/>
    <col min="7" max="7" width="20.6333333333333" style="157" customWidth="true"/>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true" ht="38.1" customHeight="true" spans="1:9">
      <c r="A1" s="160" t="s">
        <v>83</v>
      </c>
      <c r="B1" s="160"/>
      <c r="C1" s="160"/>
      <c r="D1" s="161"/>
      <c r="E1" s="160"/>
      <c r="F1" s="160"/>
      <c r="G1" s="160"/>
      <c r="I1" s="203"/>
    </row>
    <row r="2" s="143" customFormat="true" ht="26.1" customHeight="true" spans="1:9">
      <c r="A2" s="162" t="s">
        <v>84</v>
      </c>
      <c r="B2" s="162"/>
      <c r="C2" s="162"/>
      <c r="D2" s="163"/>
      <c r="E2" s="162"/>
      <c r="F2" s="162"/>
      <c r="G2" s="162"/>
      <c r="I2" s="203"/>
    </row>
    <row r="3" s="144" customFormat="true" ht="33.95" customHeight="true" spans="1:9">
      <c r="A3" s="164" t="s">
        <v>3</v>
      </c>
      <c r="B3" s="164" t="s">
        <v>85</v>
      </c>
      <c r="C3" s="164" t="s">
        <v>86</v>
      </c>
      <c r="D3" s="165" t="s">
        <v>87</v>
      </c>
      <c r="E3" s="164" t="s">
        <v>88</v>
      </c>
      <c r="F3" s="164" t="s">
        <v>89</v>
      </c>
      <c r="G3" s="164" t="s">
        <v>90</v>
      </c>
      <c r="I3" s="204"/>
    </row>
    <row r="4" s="145" customFormat="true" ht="41" customHeight="true" spans="1:9">
      <c r="A4" s="166">
        <v>1</v>
      </c>
      <c r="B4" s="66" t="s">
        <v>91</v>
      </c>
      <c r="C4" s="167" t="s">
        <v>92</v>
      </c>
      <c r="D4" s="168">
        <f>SUM(D5:D8)</f>
        <v>56.45</v>
      </c>
      <c r="E4" s="181" t="s">
        <v>93</v>
      </c>
      <c r="F4" s="167" t="s">
        <v>94</v>
      </c>
      <c r="G4" s="167"/>
      <c r="H4" s="145" t="s">
        <v>95</v>
      </c>
      <c r="I4" s="205" t="e">
        <f>#REF!/10000</f>
        <v>#REF!</v>
      </c>
    </row>
    <row r="5" s="145" customFormat="true" ht="41" customHeight="true" spans="1:9">
      <c r="A5" s="166">
        <f t="shared" ref="A5:A8" si="0">+A4+0.1</f>
        <v>1.1</v>
      </c>
      <c r="B5" s="66" t="s">
        <v>26</v>
      </c>
      <c r="C5" s="167"/>
      <c r="D5" s="169">
        <v>12</v>
      </c>
      <c r="E5" s="192">
        <v>12</v>
      </c>
      <c r="F5" s="167" t="s">
        <v>96</v>
      </c>
      <c r="G5" s="167"/>
      <c r="H5" s="145" t="s">
        <v>97</v>
      </c>
      <c r="I5" s="206">
        <v>36361.21</v>
      </c>
    </row>
    <row r="6" s="145" customFormat="true" ht="41" customHeight="true" spans="1:9">
      <c r="A6" s="166">
        <f t="shared" si="0"/>
        <v>1.2</v>
      </c>
      <c r="B6" s="66" t="s">
        <v>98</v>
      </c>
      <c r="C6" s="167"/>
      <c r="D6" s="169">
        <v>12</v>
      </c>
      <c r="E6" s="192">
        <v>12</v>
      </c>
      <c r="F6" s="167" t="s">
        <v>96</v>
      </c>
      <c r="G6" s="167"/>
      <c r="I6" s="205"/>
    </row>
    <row r="7" s="146" customFormat="true" ht="41" customHeight="true" spans="1:9">
      <c r="A7" s="170">
        <f t="shared" si="0"/>
        <v>1.3</v>
      </c>
      <c r="B7" s="171" t="s">
        <v>99</v>
      </c>
      <c r="C7" s="71"/>
      <c r="D7" s="172">
        <v>24</v>
      </c>
      <c r="E7" s="193">
        <v>24</v>
      </c>
      <c r="F7" s="71" t="s">
        <v>100</v>
      </c>
      <c r="G7" s="71"/>
      <c r="I7" s="207"/>
    </row>
    <row r="8" s="146" customFormat="true" ht="41" customHeight="true" spans="1:9">
      <c r="A8" s="170">
        <f t="shared" si="0"/>
        <v>1.4</v>
      </c>
      <c r="B8" s="171" t="s">
        <v>30</v>
      </c>
      <c r="C8" s="71"/>
      <c r="D8" s="172">
        <v>8.45</v>
      </c>
      <c r="E8" s="193">
        <v>8.45</v>
      </c>
      <c r="F8" s="71" t="s">
        <v>100</v>
      </c>
      <c r="G8" s="71"/>
      <c r="I8" s="207"/>
    </row>
    <row r="9" s="145" customFormat="true" ht="48" customHeight="true" spans="1:7">
      <c r="A9" s="166">
        <v>2</v>
      </c>
      <c r="B9" s="66" t="s">
        <v>31</v>
      </c>
      <c r="C9" s="167" t="s">
        <v>101</v>
      </c>
      <c r="D9" s="169">
        <f>(28+(40068.48-10000)*(75-28)/(50000-10000))*0.8*1*0.8</f>
        <v>40.53</v>
      </c>
      <c r="E9" s="194" t="s">
        <v>102</v>
      </c>
      <c r="F9" s="195" t="s">
        <v>103</v>
      </c>
      <c r="G9" s="167"/>
    </row>
    <row r="10" s="145" customFormat="true" ht="67" customHeight="true" spans="1:10">
      <c r="A10" s="166">
        <v>3</v>
      </c>
      <c r="B10" s="173" t="s">
        <v>32</v>
      </c>
      <c r="C10" s="167" t="s">
        <v>104</v>
      </c>
      <c r="D10" s="169" t="e">
        <f>(15+(I4-20000)*(35-15)/(140000-20000))*0.6*0.8*0.8+4</f>
        <v>#REF!</v>
      </c>
      <c r="E10" s="194" t="s">
        <v>105</v>
      </c>
      <c r="F10" s="195" t="s">
        <v>106</v>
      </c>
      <c r="G10" s="167"/>
      <c r="I10" s="206"/>
      <c r="J10" s="208"/>
    </row>
    <row r="11" s="145" customFormat="true" ht="36" customHeight="true" spans="1:9">
      <c r="A11" s="166">
        <v>4</v>
      </c>
      <c r="B11" s="173" t="s">
        <v>34</v>
      </c>
      <c r="C11" s="167" t="s">
        <v>107</v>
      </c>
      <c r="D11" s="174" t="e">
        <f>(I4)*0.5/100</f>
        <v>#REF!</v>
      </c>
      <c r="E11" s="196" t="s">
        <v>108</v>
      </c>
      <c r="F11" s="195" t="s">
        <v>109</v>
      </c>
      <c r="G11" s="167"/>
      <c r="I11" s="206"/>
    </row>
    <row r="12" s="145" customFormat="true" ht="36" customHeight="true" spans="1:9">
      <c r="A12" s="166">
        <v>5</v>
      </c>
      <c r="B12" s="173" t="s">
        <v>36</v>
      </c>
      <c r="C12" s="167" t="s">
        <v>110</v>
      </c>
      <c r="D12" s="175" t="e">
        <f>(D13)*20/100</f>
        <v>#REF!</v>
      </c>
      <c r="E12" s="194" t="s">
        <v>111</v>
      </c>
      <c r="F12" s="195" t="s">
        <v>112</v>
      </c>
      <c r="G12" s="167"/>
      <c r="I12" s="206"/>
    </row>
    <row r="13" s="147" customFormat="true" ht="36" customHeight="true" spans="1:9">
      <c r="A13" s="166">
        <v>6</v>
      </c>
      <c r="B13" s="176" t="s">
        <v>38</v>
      </c>
      <c r="C13" s="177" t="s">
        <v>113</v>
      </c>
      <c r="D13" s="178" t="e">
        <f>(566.8+(I4-20000)*(1054-566.8)/(40000-20000))*1*1*0.8-16</f>
        <v>#REF!</v>
      </c>
      <c r="E13" s="197" t="s">
        <v>114</v>
      </c>
      <c r="F13" s="177" t="s">
        <v>115</v>
      </c>
      <c r="G13" s="177"/>
      <c r="I13" s="209"/>
    </row>
    <row r="14" s="146" customFormat="true" ht="36" customHeight="true" spans="1:9">
      <c r="A14" s="166">
        <v>7</v>
      </c>
      <c r="B14" s="179" t="s">
        <v>40</v>
      </c>
      <c r="C14" s="71" t="s">
        <v>116</v>
      </c>
      <c r="D14" s="180" t="e">
        <f>(D13+D12)*6.5/100</f>
        <v>#REF!</v>
      </c>
      <c r="E14" s="198" t="s">
        <v>117</v>
      </c>
      <c r="F14" s="71" t="s">
        <v>118</v>
      </c>
      <c r="G14" s="71"/>
      <c r="I14" s="210"/>
    </row>
    <row r="15" s="145" customFormat="true" ht="50" customHeight="true" spans="1:9">
      <c r="A15" s="166">
        <v>8</v>
      </c>
      <c r="B15" s="66" t="s">
        <v>42</v>
      </c>
      <c r="C15" s="181" t="s">
        <v>101</v>
      </c>
      <c r="D15" s="174" t="e">
        <f>(393.4+(I4-20000)*(708.2-393.4)/(40000-20000))*0.8</f>
        <v>#REF!</v>
      </c>
      <c r="E15" s="196" t="s">
        <v>119</v>
      </c>
      <c r="F15" s="167" t="s">
        <v>120</v>
      </c>
      <c r="G15" s="167"/>
      <c r="I15" s="211"/>
    </row>
    <row r="16" s="146" customFormat="true" ht="41" customHeight="true" spans="1:9">
      <c r="A16" s="166">
        <v>9</v>
      </c>
      <c r="B16" s="179" t="s">
        <v>43</v>
      </c>
      <c r="C16" s="71" t="s">
        <v>121</v>
      </c>
      <c r="D16" s="180" t="e">
        <f>+造价咨询费!Q12</f>
        <v>#REF!</v>
      </c>
      <c r="E16" s="198">
        <v>101.76</v>
      </c>
      <c r="F16" s="71" t="s">
        <v>122</v>
      </c>
      <c r="G16" s="71"/>
      <c r="I16" s="210"/>
    </row>
    <row r="17" s="148" customFormat="true" ht="41" customHeight="true" spans="1:9">
      <c r="A17" s="166">
        <v>10</v>
      </c>
      <c r="B17" s="182" t="s">
        <v>44</v>
      </c>
      <c r="C17" s="183"/>
      <c r="D17" s="184" t="e">
        <f>+I4*0.5%</f>
        <v>#REF!</v>
      </c>
      <c r="E17" s="199" t="s">
        <v>108</v>
      </c>
      <c r="F17" s="183" t="s">
        <v>123</v>
      </c>
      <c r="G17" s="183"/>
      <c r="I17" s="212"/>
    </row>
    <row r="18" s="145" customFormat="true" ht="114.75" spans="1:9">
      <c r="A18" s="166">
        <v>11</v>
      </c>
      <c r="B18" s="66" t="s">
        <v>46</v>
      </c>
      <c r="C18" s="167" t="s">
        <v>124</v>
      </c>
      <c r="D18" s="175" t="e">
        <f>(I4)*1%</f>
        <v>#REF!</v>
      </c>
      <c r="E18" s="194" t="s">
        <v>125</v>
      </c>
      <c r="F18" s="167" t="s">
        <v>126</v>
      </c>
      <c r="G18" s="167"/>
      <c r="I18" s="206"/>
    </row>
    <row r="19" s="149" customFormat="true" ht="38.25" spans="1:9">
      <c r="A19" s="166">
        <v>12</v>
      </c>
      <c r="B19" s="66" t="s">
        <v>48</v>
      </c>
      <c r="C19" s="167" t="s">
        <v>127</v>
      </c>
      <c r="D19" s="174" t="e">
        <f>I4*0.3%</f>
        <v>#REF!</v>
      </c>
      <c r="E19" s="196" t="s">
        <v>128</v>
      </c>
      <c r="F19" s="167" t="s">
        <v>129</v>
      </c>
      <c r="G19" s="167"/>
      <c r="H19" s="145"/>
      <c r="I19" s="213"/>
    </row>
    <row r="20" s="150" customFormat="true" ht="35" customHeight="true" spans="1:9">
      <c r="A20" s="166">
        <v>13</v>
      </c>
      <c r="B20" s="171" t="s">
        <v>50</v>
      </c>
      <c r="C20" s="71" t="s">
        <v>130</v>
      </c>
      <c r="D20" s="180">
        <v>8.5</v>
      </c>
      <c r="E20" s="198">
        <v>8.5</v>
      </c>
      <c r="F20" s="71" t="s">
        <v>131</v>
      </c>
      <c r="G20" s="71"/>
      <c r="H20" s="146"/>
      <c r="I20" s="214"/>
    </row>
    <row r="21" s="151" customFormat="true" ht="35" customHeight="true" spans="1:9">
      <c r="A21" s="166">
        <v>14</v>
      </c>
      <c r="B21" s="185" t="s">
        <v>52</v>
      </c>
      <c r="C21" s="177"/>
      <c r="D21" s="186">
        <v>25</v>
      </c>
      <c r="E21" s="200">
        <v>25</v>
      </c>
      <c r="F21" s="177" t="s">
        <v>35</v>
      </c>
      <c r="G21" s="177"/>
      <c r="H21" s="147"/>
      <c r="I21" s="215"/>
    </row>
    <row r="22" s="152" customFormat="true" ht="35" customHeight="true" spans="1:9">
      <c r="A22" s="166">
        <v>15</v>
      </c>
      <c r="B22" s="187" t="s">
        <v>54</v>
      </c>
      <c r="C22" s="188"/>
      <c r="D22" s="189">
        <v>10</v>
      </c>
      <c r="E22" s="201">
        <v>10</v>
      </c>
      <c r="F22" s="177" t="s">
        <v>35</v>
      </c>
      <c r="G22" s="188"/>
      <c r="H22" s="202"/>
      <c r="I22" s="216"/>
    </row>
    <row r="23" s="150" customFormat="true" ht="35" customHeight="true" spans="1:9">
      <c r="A23" s="166">
        <v>16</v>
      </c>
      <c r="B23" s="171" t="s">
        <v>56</v>
      </c>
      <c r="C23" s="71"/>
      <c r="D23" s="180">
        <v>29.8</v>
      </c>
      <c r="E23" s="198">
        <v>29.8</v>
      </c>
      <c r="F23" s="71" t="s">
        <v>132</v>
      </c>
      <c r="G23" s="71"/>
      <c r="H23" s="146"/>
      <c r="I23" s="214"/>
    </row>
    <row r="24" s="153" customFormat="true" ht="35" customHeight="true" spans="1:9">
      <c r="A24" s="166">
        <v>17</v>
      </c>
      <c r="B24" s="66" t="s">
        <v>58</v>
      </c>
      <c r="C24" s="167" t="s">
        <v>133</v>
      </c>
      <c r="D24" s="174">
        <f>(I24*3)/10000</f>
        <v>3.61</v>
      </c>
      <c r="E24" s="196" t="s">
        <v>134</v>
      </c>
      <c r="F24" s="167" t="s">
        <v>135</v>
      </c>
      <c r="G24" s="167"/>
      <c r="H24" s="145"/>
      <c r="I24" s="217">
        <v>12046.9</v>
      </c>
    </row>
    <row r="25" s="150" customFormat="true" ht="35" customHeight="true" spans="1:9">
      <c r="A25" s="166">
        <v>18</v>
      </c>
      <c r="B25" s="171" t="s">
        <v>60</v>
      </c>
      <c r="C25" s="71"/>
      <c r="D25" s="180">
        <v>12.6</v>
      </c>
      <c r="E25" s="198">
        <v>12.6</v>
      </c>
      <c r="F25" s="71" t="s">
        <v>136</v>
      </c>
      <c r="G25" s="71"/>
      <c r="H25" s="146"/>
      <c r="I25" s="214"/>
    </row>
    <row r="26" s="150" customFormat="true" ht="29" customHeight="true" spans="1:9">
      <c r="A26" s="166">
        <v>19</v>
      </c>
      <c r="B26" s="171" t="s">
        <v>61</v>
      </c>
      <c r="C26" s="71"/>
      <c r="D26" s="180">
        <v>14</v>
      </c>
      <c r="E26" s="198">
        <v>14</v>
      </c>
      <c r="F26" s="71" t="s">
        <v>131</v>
      </c>
      <c r="G26" s="71"/>
      <c r="H26" s="146"/>
      <c r="I26" s="214"/>
    </row>
    <row r="27" s="150" customFormat="true" ht="29" customHeight="true" spans="1:9">
      <c r="A27" s="166">
        <v>20</v>
      </c>
      <c r="B27" s="171" t="s">
        <v>62</v>
      </c>
      <c r="C27" s="71"/>
      <c r="D27" s="180">
        <f>86400/10000</f>
        <v>8.64</v>
      </c>
      <c r="E27" s="198">
        <v>8.64</v>
      </c>
      <c r="F27" s="71" t="s">
        <v>100</v>
      </c>
      <c r="G27" s="71"/>
      <c r="H27" s="146"/>
      <c r="I27" s="214"/>
    </row>
    <row r="28" s="150" customFormat="true" ht="29" customHeight="true" spans="1:9">
      <c r="A28" s="166">
        <v>21</v>
      </c>
      <c r="B28" s="171" t="s">
        <v>63</v>
      </c>
      <c r="C28" s="71"/>
      <c r="D28" s="180">
        <v>13</v>
      </c>
      <c r="E28" s="198">
        <v>13</v>
      </c>
      <c r="F28" s="71" t="s">
        <v>100</v>
      </c>
      <c r="G28" s="71"/>
      <c r="H28" s="146"/>
      <c r="I28" s="214"/>
    </row>
    <row r="29" s="153" customFormat="true" ht="35" customHeight="true" spans="1:9">
      <c r="A29" s="166">
        <v>22</v>
      </c>
      <c r="B29" s="66" t="s">
        <v>64</v>
      </c>
      <c r="C29" s="167"/>
      <c r="D29" s="174">
        <f>I24*5%*1600/10000</f>
        <v>96.38</v>
      </c>
      <c r="E29" s="196" t="s">
        <v>137</v>
      </c>
      <c r="F29" s="167" t="s">
        <v>138</v>
      </c>
      <c r="G29" s="167"/>
      <c r="H29" s="145"/>
      <c r="I29" s="217"/>
    </row>
    <row r="30" s="150" customFormat="true" ht="35" customHeight="true" spans="1:9">
      <c r="A30" s="166">
        <v>23</v>
      </c>
      <c r="B30" s="171" t="s">
        <v>139</v>
      </c>
      <c r="C30" s="71"/>
      <c r="D30" s="180">
        <v>16</v>
      </c>
      <c r="E30" s="198">
        <v>16</v>
      </c>
      <c r="F30" s="71" t="s">
        <v>100</v>
      </c>
      <c r="G30" s="71"/>
      <c r="H30" s="146"/>
      <c r="I30" s="214"/>
    </row>
    <row r="31" s="154" customFormat="true" ht="28" customHeight="true" spans="1:9">
      <c r="A31" s="166">
        <v>24</v>
      </c>
      <c r="B31" s="190" t="s">
        <v>140</v>
      </c>
      <c r="C31" s="190"/>
      <c r="D31" s="191" t="e">
        <f>SUM(D5:D30)</f>
        <v>#REF!</v>
      </c>
      <c r="E31" s="196"/>
      <c r="F31" s="190"/>
      <c r="G31" s="190"/>
      <c r="I31" s="218"/>
    </row>
    <row r="32" s="155" customFormat="true" ht="27" customHeight="true" spans="1:9">
      <c r="A32" s="156"/>
      <c r="B32" s="157"/>
      <c r="C32" s="157"/>
      <c r="D32" s="158"/>
      <c r="E32" s="157"/>
      <c r="F32" s="157"/>
      <c r="G32" s="157"/>
      <c r="I32" s="159"/>
    </row>
    <row r="33" s="155" customFormat="true" ht="27" customHeight="true" spans="1:9">
      <c r="A33" s="156"/>
      <c r="B33" s="157"/>
      <c r="C33" s="157"/>
      <c r="D33" s="158"/>
      <c r="E33" s="157"/>
      <c r="F33" s="157"/>
      <c r="G33" s="157"/>
      <c r="I33" s="159"/>
    </row>
  </sheetData>
  <mergeCells count="2">
    <mergeCell ref="A1:G1"/>
    <mergeCell ref="A2:G2"/>
  </mergeCells>
  <printOptions horizontalCentered="true"/>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true"/>
    <col min="2" max="2" width="6.86666666666667" style="103" customWidth="true"/>
    <col min="3" max="3" width="10.4666666666667" style="103" customWidth="true"/>
    <col min="4" max="4" width="15.1916666666667" style="104" customWidth="true"/>
    <col min="5" max="5" width="11.1" style="103" customWidth="true"/>
    <col min="6" max="11" width="7.31666666666667" style="103" customWidth="true"/>
    <col min="12" max="12" width="15.4" style="103" customWidth="true"/>
    <col min="13" max="13" width="12.3" style="103" customWidth="true"/>
    <col min="14" max="14" width="16.425" style="101" customWidth="true"/>
    <col min="15" max="15" width="11.475" style="101"/>
    <col min="16" max="17" width="11.1333333333333" style="101"/>
    <col min="18" max="255" width="8.1" style="101"/>
    <col min="256" max="16384" width="8.1" style="105"/>
  </cols>
  <sheetData>
    <row r="1" s="101" customFormat="true" ht="33" customHeight="true" spans="1:13">
      <c r="A1" s="106" t="s">
        <v>141</v>
      </c>
      <c r="B1" s="106"/>
      <c r="C1" s="106"/>
      <c r="D1" s="106"/>
      <c r="E1" s="106"/>
      <c r="F1" s="106"/>
      <c r="G1" s="106"/>
      <c r="H1" s="106"/>
      <c r="I1" s="106"/>
      <c r="J1" s="106"/>
      <c r="K1" s="106"/>
      <c r="L1" s="106"/>
      <c r="M1" s="106"/>
    </row>
    <row r="2" s="102" customFormat="true" ht="23.25" customHeight="true" spans="1:14">
      <c r="A2" s="107" t="s">
        <v>3</v>
      </c>
      <c r="B2" s="108" t="s">
        <v>142</v>
      </c>
      <c r="C2" s="108"/>
      <c r="D2" s="108" t="s">
        <v>143</v>
      </c>
      <c r="E2" s="108" t="s">
        <v>144</v>
      </c>
      <c r="F2" s="108" t="s">
        <v>145</v>
      </c>
      <c r="G2" s="108" t="s">
        <v>146</v>
      </c>
      <c r="H2" s="108" t="s">
        <v>147</v>
      </c>
      <c r="I2" s="108" t="s">
        <v>148</v>
      </c>
      <c r="J2" s="108" t="s">
        <v>149</v>
      </c>
      <c r="K2" s="108" t="s">
        <v>150</v>
      </c>
      <c r="L2" s="108" t="s">
        <v>151</v>
      </c>
      <c r="M2" s="108"/>
      <c r="N2" s="108" t="s">
        <v>90</v>
      </c>
    </row>
    <row r="3" s="102" customFormat="true" ht="23.25" customHeight="true" spans="1:14">
      <c r="A3" s="108">
        <v>1</v>
      </c>
      <c r="B3" s="108" t="s">
        <v>152</v>
      </c>
      <c r="C3" s="108"/>
      <c r="D3" s="109" t="s">
        <v>153</v>
      </c>
      <c r="E3" s="108" t="s">
        <v>154</v>
      </c>
      <c r="F3" s="108" t="s">
        <v>155</v>
      </c>
      <c r="G3" s="108" t="s">
        <v>156</v>
      </c>
      <c r="H3" s="108" t="s">
        <v>157</v>
      </c>
      <c r="I3" s="108" t="s">
        <v>158</v>
      </c>
      <c r="J3" s="108" t="s">
        <v>159</v>
      </c>
      <c r="K3" s="108" t="s">
        <v>160</v>
      </c>
      <c r="L3" s="108"/>
      <c r="M3" s="108"/>
      <c r="N3" s="108"/>
    </row>
    <row r="4" s="102" customFormat="true" ht="23.25" customHeight="true"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true" ht="23.25" customHeight="true" spans="1:14">
      <c r="A5" s="108">
        <v>2</v>
      </c>
      <c r="B5" s="108" t="s">
        <v>161</v>
      </c>
      <c r="C5" s="108"/>
      <c r="D5" s="109" t="s">
        <v>162</v>
      </c>
      <c r="E5" s="108" t="s">
        <v>163</v>
      </c>
      <c r="F5" s="108" t="s">
        <v>164</v>
      </c>
      <c r="G5" s="108" t="s">
        <v>165</v>
      </c>
      <c r="H5" s="108" t="s">
        <v>166</v>
      </c>
      <c r="I5" s="108" t="s">
        <v>155</v>
      </c>
      <c r="J5" s="108" t="s">
        <v>167</v>
      </c>
      <c r="K5" s="108" t="s">
        <v>156</v>
      </c>
      <c r="L5" s="124"/>
      <c r="M5" s="124"/>
      <c r="N5" s="108"/>
    </row>
    <row r="6" s="102" customFormat="true" ht="15.95" customHeight="true"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true" ht="23.25" customHeight="true" spans="1:14">
      <c r="A7" s="108">
        <v>3</v>
      </c>
      <c r="B7" s="108" t="s">
        <v>168</v>
      </c>
      <c r="C7" s="108" t="s">
        <v>169</v>
      </c>
      <c r="D7" s="108" t="s">
        <v>170</v>
      </c>
      <c r="E7" s="108" t="s">
        <v>171</v>
      </c>
      <c r="F7" s="108" t="s">
        <v>172</v>
      </c>
      <c r="G7" s="108" t="s">
        <v>173</v>
      </c>
      <c r="H7" s="108" t="s">
        <v>174</v>
      </c>
      <c r="I7" s="108" t="s">
        <v>175</v>
      </c>
      <c r="J7" s="108" t="s">
        <v>164</v>
      </c>
      <c r="K7" s="108" t="s">
        <v>165</v>
      </c>
      <c r="L7" s="108"/>
      <c r="M7" s="108"/>
      <c r="N7" s="108" t="s">
        <v>176</v>
      </c>
    </row>
    <row r="8" s="102" customFormat="true" ht="23.25" customHeight="true"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true" ht="23.25" customHeight="true" spans="1:14">
      <c r="A9" s="108"/>
      <c r="B9" s="108"/>
      <c r="C9" s="108"/>
      <c r="D9" s="108" t="s">
        <v>177</v>
      </c>
      <c r="E9" s="108" t="s">
        <v>171</v>
      </c>
      <c r="F9" s="108" t="s">
        <v>165</v>
      </c>
      <c r="G9" s="108" t="s">
        <v>166</v>
      </c>
      <c r="H9" s="108" t="s">
        <v>178</v>
      </c>
      <c r="I9" s="108" t="s">
        <v>167</v>
      </c>
      <c r="J9" s="108" t="s">
        <v>157</v>
      </c>
      <c r="K9" s="108" t="s">
        <v>179</v>
      </c>
      <c r="L9" s="108"/>
      <c r="M9" s="108"/>
      <c r="N9" s="108" t="s">
        <v>176</v>
      </c>
    </row>
    <row r="10" s="102" customFormat="true" ht="21" customHeight="true"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true" ht="23.25" customHeight="true" spans="1:18">
      <c r="A11" s="108"/>
      <c r="B11" s="108"/>
      <c r="C11" s="108" t="s">
        <v>180</v>
      </c>
      <c r="D11" s="108" t="s">
        <v>181</v>
      </c>
      <c r="E11" s="108" t="s">
        <v>171</v>
      </c>
      <c r="F11" s="108" t="s">
        <v>182</v>
      </c>
      <c r="G11" s="108" t="s">
        <v>183</v>
      </c>
      <c r="H11" s="108" t="s">
        <v>172</v>
      </c>
      <c r="I11" s="108" t="s">
        <v>173</v>
      </c>
      <c r="J11" s="108" t="s">
        <v>164</v>
      </c>
      <c r="K11" s="108" t="s">
        <v>184</v>
      </c>
      <c r="L11" s="108"/>
      <c r="M11" s="108"/>
      <c r="N11" s="108"/>
      <c r="P11" s="102">
        <f>8+10+15+2+1+2+1+6+3+4+1+10+5+10+2+2+20+15+7+20+13+15+10+10+6+12+10+5+31+42+20+21+7+33+26+14+20+40+52+25+3+114+40+123+67+3+2</f>
        <v>908</v>
      </c>
      <c r="Q11" s="102">
        <v>12</v>
      </c>
      <c r="R11" s="102">
        <f>+P11*Q11</f>
        <v>10896</v>
      </c>
    </row>
    <row r="12" s="102" customFormat="true" ht="23.25" customHeight="true"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true" ht="23.25" customHeight="true" spans="1:14">
      <c r="A13" s="108">
        <v>4</v>
      </c>
      <c r="B13" s="108" t="s">
        <v>185</v>
      </c>
      <c r="C13" s="108" t="s">
        <v>186</v>
      </c>
      <c r="D13" s="109"/>
      <c r="E13" s="108" t="s">
        <v>187</v>
      </c>
      <c r="F13" s="108" t="s">
        <v>188</v>
      </c>
      <c r="G13" s="108" t="s">
        <v>182</v>
      </c>
      <c r="H13" s="108" t="s">
        <v>183</v>
      </c>
      <c r="I13" s="108" t="s">
        <v>189</v>
      </c>
      <c r="J13" s="108" t="s">
        <v>172</v>
      </c>
      <c r="K13" s="108" t="s">
        <v>173</v>
      </c>
      <c r="L13" s="108"/>
      <c r="M13" s="108"/>
      <c r="N13" s="108"/>
    </row>
    <row r="14" s="102" customFormat="true" ht="23.25" customHeight="true"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true" ht="23.25" customHeight="true" spans="1:14">
      <c r="A15" s="110">
        <v>5</v>
      </c>
      <c r="B15" s="110" t="s">
        <v>190</v>
      </c>
      <c r="C15" s="110" t="s">
        <v>191</v>
      </c>
      <c r="D15" s="111" t="s">
        <v>192</v>
      </c>
      <c r="E15" s="110" t="s">
        <v>193</v>
      </c>
      <c r="F15" s="110" t="s">
        <v>194</v>
      </c>
      <c r="G15" s="110" t="s">
        <v>173</v>
      </c>
      <c r="H15" s="110" t="s">
        <v>175</v>
      </c>
      <c r="I15" s="110" t="s">
        <v>166</v>
      </c>
      <c r="J15" s="110" t="s">
        <v>155</v>
      </c>
      <c r="K15" s="110" t="s">
        <v>195</v>
      </c>
      <c r="L15" s="110"/>
      <c r="M15" s="110"/>
      <c r="N15" s="110" t="s">
        <v>176</v>
      </c>
    </row>
    <row r="16" s="102" customFormat="true" ht="23.25" customHeight="true"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true" ht="23.25" customHeight="true" spans="1:14">
      <c r="A17" s="110"/>
      <c r="B17" s="110"/>
      <c r="C17" s="110" t="s">
        <v>196</v>
      </c>
      <c r="D17" s="111"/>
      <c r="E17" s="110" t="s">
        <v>197</v>
      </c>
      <c r="F17" s="127">
        <v>0.05</v>
      </c>
      <c r="G17" s="110"/>
      <c r="H17" s="110"/>
      <c r="I17" s="110"/>
      <c r="J17" s="110"/>
      <c r="K17" s="110"/>
      <c r="L17" s="110"/>
      <c r="M17" s="140"/>
      <c r="N17" s="110"/>
    </row>
    <row r="18" s="102" customFormat="true" ht="15" customHeight="true" spans="1:14">
      <c r="A18" s="112"/>
      <c r="B18" s="112"/>
      <c r="C18" s="112"/>
      <c r="D18" s="113"/>
      <c r="E18" s="128">
        <v>100</v>
      </c>
      <c r="F18" s="129">
        <f>E18*0.05</f>
        <v>5</v>
      </c>
      <c r="G18" s="129"/>
      <c r="H18" s="129"/>
      <c r="I18" s="129"/>
      <c r="J18" s="129"/>
      <c r="K18" s="129"/>
      <c r="L18" s="129"/>
      <c r="M18" s="140"/>
      <c r="N18" s="112"/>
    </row>
    <row r="19" s="102" customFormat="true" ht="23.25" customHeight="true" spans="1:14">
      <c r="A19" s="108">
        <v>6</v>
      </c>
      <c r="B19" s="114" t="s">
        <v>198</v>
      </c>
      <c r="C19" s="115"/>
      <c r="D19" s="109" t="s">
        <v>199</v>
      </c>
      <c r="E19" s="108" t="s">
        <v>163</v>
      </c>
      <c r="F19" s="108" t="s">
        <v>200</v>
      </c>
      <c r="G19" s="108" t="s">
        <v>201</v>
      </c>
      <c r="H19" s="108" t="s">
        <v>202</v>
      </c>
      <c r="I19" s="108" t="s">
        <v>203</v>
      </c>
      <c r="J19" s="108" t="s">
        <v>204</v>
      </c>
      <c r="K19" s="108" t="s">
        <v>205</v>
      </c>
      <c r="L19" s="108"/>
      <c r="M19" s="108"/>
      <c r="N19" s="108" t="s">
        <v>176</v>
      </c>
    </row>
    <row r="20" s="102" customFormat="true" ht="23.25" customHeight="true"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true" ht="24" customHeight="true" spans="1:14">
      <c r="A21" s="118">
        <v>7</v>
      </c>
      <c r="B21" s="118" t="s">
        <v>206</v>
      </c>
      <c r="C21" s="118"/>
      <c r="D21" s="119"/>
      <c r="E21" s="118" t="s">
        <v>207</v>
      </c>
      <c r="F21" s="118" t="s">
        <v>200</v>
      </c>
      <c r="G21" s="118" t="s">
        <v>202</v>
      </c>
      <c r="H21" s="118" t="s">
        <v>204</v>
      </c>
      <c r="I21" s="118" t="s">
        <v>208</v>
      </c>
      <c r="J21" s="118" t="s">
        <v>209</v>
      </c>
      <c r="K21" s="118" t="s">
        <v>182</v>
      </c>
      <c r="L21" s="118"/>
      <c r="M21" s="118"/>
      <c r="N21" s="118"/>
    </row>
    <row r="22" s="102" customFormat="true" ht="24" customHeight="true"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true" ht="15" customHeight="true" spans="1:14">
      <c r="A23" s="118">
        <v>8</v>
      </c>
      <c r="B23" s="118" t="s">
        <v>210</v>
      </c>
      <c r="C23" s="118"/>
      <c r="D23" s="119"/>
      <c r="E23" s="118" t="s">
        <v>211</v>
      </c>
      <c r="F23" s="118" t="s">
        <v>164</v>
      </c>
      <c r="G23" s="118" t="s">
        <v>165</v>
      </c>
      <c r="H23" s="118" t="s">
        <v>184</v>
      </c>
      <c r="I23" s="118" t="s">
        <v>155</v>
      </c>
      <c r="J23" s="118" t="s">
        <v>167</v>
      </c>
      <c r="K23" s="118" t="s">
        <v>212</v>
      </c>
      <c r="L23" s="118"/>
      <c r="M23" s="118"/>
      <c r="N23" s="118"/>
    </row>
    <row r="24" s="102" customFormat="true" ht="15" customHeight="true"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true" ht="24" customHeight="true" spans="1:14">
      <c r="A25" s="118">
        <v>9</v>
      </c>
      <c r="B25" s="118" t="s">
        <v>213</v>
      </c>
      <c r="C25" s="118"/>
      <c r="D25" s="119"/>
      <c r="E25" s="118" t="s">
        <v>214</v>
      </c>
      <c r="F25" s="118" t="s">
        <v>164</v>
      </c>
      <c r="G25" s="118" t="s">
        <v>165</v>
      </c>
      <c r="H25" s="118" t="s">
        <v>184</v>
      </c>
      <c r="I25" s="118" t="s">
        <v>155</v>
      </c>
      <c r="J25" s="118" t="s">
        <v>167</v>
      </c>
      <c r="K25" s="118" t="s">
        <v>212</v>
      </c>
      <c r="L25" s="118"/>
      <c r="M25" s="118"/>
      <c r="N25" s="118"/>
    </row>
    <row r="26" s="102" customFormat="true" ht="15" customHeight="true"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true" ht="24" customHeight="true" spans="1:14">
      <c r="A27" s="119" t="s">
        <v>215</v>
      </c>
      <c r="B27" s="119"/>
      <c r="C27" s="119"/>
      <c r="D27" s="119"/>
      <c r="E27" s="119"/>
      <c r="F27" s="119"/>
      <c r="G27" s="119"/>
      <c r="H27" s="119"/>
      <c r="I27" s="119"/>
      <c r="J27" s="119"/>
      <c r="K27" s="119"/>
      <c r="L27" s="118"/>
      <c r="M27" s="119"/>
      <c r="N27" s="119"/>
    </row>
    <row r="28" s="102" customFormat="true" ht="24" customHeight="true" spans="1:14">
      <c r="A28" s="119" t="s">
        <v>216</v>
      </c>
      <c r="B28" s="119"/>
      <c r="C28" s="119"/>
      <c r="D28" s="119"/>
      <c r="E28" s="119"/>
      <c r="F28" s="119"/>
      <c r="G28" s="119"/>
      <c r="H28" s="119"/>
      <c r="I28" s="119"/>
      <c r="J28" s="119"/>
      <c r="K28" s="119"/>
      <c r="L28" s="118"/>
      <c r="M28" s="119"/>
      <c r="N28" s="119"/>
    </row>
    <row r="29" s="102" customFormat="true" ht="24" customHeight="true" spans="1:14">
      <c r="A29" s="119" t="s">
        <v>217</v>
      </c>
      <c r="B29" s="119"/>
      <c r="C29" s="119"/>
      <c r="D29" s="119"/>
      <c r="E29" s="119"/>
      <c r="F29" s="119"/>
      <c r="G29" s="119"/>
      <c r="H29" s="119"/>
      <c r="I29" s="119"/>
      <c r="J29" s="119"/>
      <c r="K29" s="119"/>
      <c r="L29" s="118"/>
      <c r="M29" s="119"/>
      <c r="N29" s="119"/>
    </row>
    <row r="30" s="102" customFormat="true" ht="24" customHeight="true" spans="1:14">
      <c r="A30" s="119" t="s">
        <v>218</v>
      </c>
      <c r="B30" s="119"/>
      <c r="C30" s="119"/>
      <c r="D30" s="119"/>
      <c r="E30" s="119"/>
      <c r="F30" s="119"/>
      <c r="G30" s="119"/>
      <c r="H30" s="119"/>
      <c r="I30" s="119"/>
      <c r="J30" s="119"/>
      <c r="K30" s="119"/>
      <c r="L30" s="118"/>
      <c r="M30" s="119"/>
      <c r="N30" s="119"/>
    </row>
    <row r="31" s="102" customFormat="true" ht="24" customHeight="true" spans="1:14">
      <c r="A31" s="119" t="s">
        <v>219</v>
      </c>
      <c r="B31" s="119"/>
      <c r="C31" s="119"/>
      <c r="D31" s="119"/>
      <c r="E31" s="119"/>
      <c r="F31" s="119"/>
      <c r="G31" s="119"/>
      <c r="H31" s="119"/>
      <c r="I31" s="119"/>
      <c r="J31" s="119"/>
      <c r="K31" s="119"/>
      <c r="L31" s="118"/>
      <c r="M31" s="119"/>
      <c r="N31" s="119"/>
    </row>
    <row r="32" s="102" customFormat="true" ht="24" customHeight="true" spans="1:14">
      <c r="A32" s="119" t="s">
        <v>220</v>
      </c>
      <c r="B32" s="119"/>
      <c r="C32" s="119"/>
      <c r="D32" s="119"/>
      <c r="E32" s="119"/>
      <c r="F32" s="119"/>
      <c r="G32" s="119"/>
      <c r="H32" s="119"/>
      <c r="I32" s="119"/>
      <c r="J32" s="119"/>
      <c r="K32" s="119"/>
      <c r="L32" s="118"/>
      <c r="M32" s="119"/>
      <c r="N32" s="119"/>
    </row>
    <row r="33" s="102" customFormat="true" ht="24" customHeight="true" spans="1:14">
      <c r="A33" s="119" t="s">
        <v>221</v>
      </c>
      <c r="B33" s="119"/>
      <c r="C33" s="119"/>
      <c r="D33" s="119"/>
      <c r="E33" s="119"/>
      <c r="F33" s="119"/>
      <c r="G33" s="119"/>
      <c r="H33" s="119"/>
      <c r="I33" s="119"/>
      <c r="J33" s="119"/>
      <c r="K33" s="119"/>
      <c r="L33" s="118"/>
      <c r="M33" s="119"/>
      <c r="N33" s="119"/>
    </row>
    <row r="34" s="102" customFormat="true" ht="24" customHeight="true" spans="1:14">
      <c r="A34" s="119" t="s">
        <v>222</v>
      </c>
      <c r="B34" s="119"/>
      <c r="C34" s="119"/>
      <c r="D34" s="119"/>
      <c r="E34" s="119"/>
      <c r="F34" s="119"/>
      <c r="G34" s="119"/>
      <c r="H34" s="119"/>
      <c r="I34" s="119"/>
      <c r="J34" s="119"/>
      <c r="K34" s="119"/>
      <c r="L34" s="118"/>
      <c r="M34" s="119"/>
      <c r="N34" s="119"/>
    </row>
    <row r="35" s="102" customFormat="true" ht="24" customHeight="true" spans="1:14">
      <c r="A35" s="119" t="s">
        <v>223</v>
      </c>
      <c r="B35" s="119"/>
      <c r="C35" s="119"/>
      <c r="D35" s="119"/>
      <c r="E35" s="119"/>
      <c r="F35" s="119"/>
      <c r="G35" s="119"/>
      <c r="H35" s="119"/>
      <c r="I35" s="119"/>
      <c r="J35" s="119"/>
      <c r="K35" s="119"/>
      <c r="L35" s="118"/>
      <c r="M35" s="119"/>
      <c r="N35" s="119"/>
    </row>
    <row r="36" s="102" customFormat="true" ht="24" customHeight="true" spans="1:14">
      <c r="A36" s="119" t="s">
        <v>224</v>
      </c>
      <c r="B36" s="119"/>
      <c r="C36" s="119"/>
      <c r="D36" s="119"/>
      <c r="E36" s="119"/>
      <c r="F36" s="119"/>
      <c r="G36" s="119"/>
      <c r="H36" s="119"/>
      <c r="I36" s="119"/>
      <c r="J36" s="119"/>
      <c r="K36" s="119"/>
      <c r="L36" s="118"/>
      <c r="M36" s="119"/>
      <c r="N36" s="119"/>
    </row>
    <row r="37" s="102" customFormat="true" ht="24" customHeight="true" spans="1:14">
      <c r="A37" s="119" t="s">
        <v>225</v>
      </c>
      <c r="B37" s="119"/>
      <c r="C37" s="119"/>
      <c r="D37" s="119"/>
      <c r="E37" s="119"/>
      <c r="F37" s="119"/>
      <c r="G37" s="119"/>
      <c r="H37" s="119"/>
      <c r="I37" s="119"/>
      <c r="J37" s="119"/>
      <c r="K37" s="119"/>
      <c r="L37" s="118"/>
      <c r="M37" s="119"/>
      <c r="N37" s="119"/>
    </row>
    <row r="38" s="102" customFormat="true" ht="24" customHeight="true" spans="1:14">
      <c r="A38" s="119" t="s">
        <v>226</v>
      </c>
      <c r="B38" s="119"/>
      <c r="C38" s="119"/>
      <c r="D38" s="119"/>
      <c r="E38" s="119"/>
      <c r="F38" s="119"/>
      <c r="G38" s="119"/>
      <c r="H38" s="119"/>
      <c r="I38" s="119"/>
      <c r="J38" s="119"/>
      <c r="K38" s="119"/>
      <c r="L38" s="118"/>
      <c r="M38" s="119"/>
      <c r="N38" s="119"/>
    </row>
    <row r="39" s="102" customFormat="true" ht="24" customHeight="true" spans="1:14">
      <c r="A39" s="119" t="s">
        <v>227</v>
      </c>
      <c r="B39" s="119"/>
      <c r="C39" s="119"/>
      <c r="D39" s="119"/>
      <c r="E39" s="119"/>
      <c r="F39" s="119"/>
      <c r="G39" s="119"/>
      <c r="H39" s="119"/>
      <c r="I39" s="119"/>
      <c r="J39" s="119"/>
      <c r="K39" s="119"/>
      <c r="L39" s="118"/>
      <c r="M39" s="119"/>
      <c r="N39" s="119"/>
    </row>
    <row r="40" s="101" customFormat="true" ht="39.75" customHeight="true" spans="1:15">
      <c r="A40" s="120"/>
      <c r="B40" s="121"/>
      <c r="C40" s="121"/>
      <c r="D40" s="122"/>
      <c r="E40" s="121"/>
      <c r="F40" s="121"/>
      <c r="G40" s="121"/>
      <c r="H40" s="121"/>
      <c r="I40" s="121"/>
      <c r="J40" s="121"/>
      <c r="K40" s="108"/>
      <c r="L40" s="123"/>
      <c r="M40" s="123"/>
      <c r="N40" s="107"/>
      <c r="O40" s="102"/>
    </row>
    <row r="41" s="101" customFormat="true" spans="2:15">
      <c r="B41" s="103"/>
      <c r="C41" s="103"/>
      <c r="D41" s="104"/>
      <c r="E41" s="103"/>
      <c r="F41" s="103"/>
      <c r="G41" s="103"/>
      <c r="H41" s="103"/>
      <c r="I41" s="103"/>
      <c r="J41" s="103"/>
      <c r="K41" s="137"/>
      <c r="L41" s="138"/>
      <c r="M41" s="138"/>
      <c r="O41" s="102"/>
    </row>
    <row r="42" s="101" customFormat="true"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true" spans="2:15">
      <c r="B43" s="103"/>
      <c r="C43" s="103"/>
      <c r="D43" s="104"/>
      <c r="E43" s="103"/>
      <c r="F43" s="103"/>
      <c r="G43" s="103"/>
      <c r="H43" s="103"/>
      <c r="I43" s="137"/>
      <c r="J43" s="137"/>
      <c r="K43" s="137"/>
      <c r="L43" s="137"/>
      <c r="M43" s="137"/>
      <c r="O43" s="102"/>
    </row>
    <row r="44" s="101" customFormat="true" spans="2:15">
      <c r="B44" s="103"/>
      <c r="C44" s="103"/>
      <c r="D44" s="104"/>
      <c r="E44" s="103"/>
      <c r="F44" s="103"/>
      <c r="G44" s="103"/>
      <c r="H44" s="103"/>
      <c r="I44" s="103"/>
      <c r="J44" s="103"/>
      <c r="K44" s="137"/>
      <c r="L44" s="137"/>
      <c r="M44" s="103"/>
      <c r="O44" s="102"/>
    </row>
    <row r="45" s="101" customFormat="true" spans="2:15">
      <c r="B45" s="103"/>
      <c r="C45" s="103"/>
      <c r="D45" s="104"/>
      <c r="E45" s="103"/>
      <c r="F45" s="103"/>
      <c r="G45" s="103"/>
      <c r="H45" s="103"/>
      <c r="I45" s="103"/>
      <c r="J45" s="103"/>
      <c r="K45" s="103"/>
      <c r="L45" s="103"/>
      <c r="M45" s="103"/>
      <c r="O45" s="102"/>
    </row>
    <row r="46" s="101" customFormat="true" spans="2:15">
      <c r="B46" s="103"/>
      <c r="C46" s="103"/>
      <c r="D46" s="104"/>
      <c r="E46" s="103"/>
      <c r="F46" s="103"/>
      <c r="G46" s="103"/>
      <c r="H46" s="103"/>
      <c r="I46" s="103"/>
      <c r="J46" s="103">
        <f>8.51/50.06</f>
        <v>0.169996004794247</v>
      </c>
      <c r="K46" s="103"/>
      <c r="L46" s="103"/>
      <c r="M46" s="103"/>
      <c r="O46" s="102"/>
    </row>
    <row r="47" s="101" customFormat="true" spans="2:15">
      <c r="B47" s="103"/>
      <c r="C47" s="103"/>
      <c r="D47" s="104"/>
      <c r="E47" s="103"/>
      <c r="F47" s="103"/>
      <c r="G47" s="103"/>
      <c r="H47" s="103"/>
      <c r="I47" s="103"/>
      <c r="J47" s="103"/>
      <c r="K47" s="103"/>
      <c r="L47" s="103"/>
      <c r="M47" s="103"/>
      <c r="O47" s="102"/>
    </row>
    <row r="48" s="101" customFormat="true" spans="2:15">
      <c r="B48" s="103"/>
      <c r="C48" s="103"/>
      <c r="D48" s="104"/>
      <c r="E48" s="103"/>
      <c r="F48" s="103"/>
      <c r="G48" s="103"/>
      <c r="H48" s="103"/>
      <c r="I48" s="103"/>
      <c r="J48" s="103"/>
      <c r="K48" s="103"/>
      <c r="L48" s="103"/>
      <c r="M48" s="103"/>
      <c r="O48" s="102"/>
    </row>
    <row r="49" s="101" customFormat="true" spans="2:15">
      <c r="B49" s="103"/>
      <c r="C49" s="103"/>
      <c r="D49" s="104"/>
      <c r="E49" s="103"/>
      <c r="F49" s="103"/>
      <c r="G49" s="103"/>
      <c r="H49" s="103"/>
      <c r="I49" s="103"/>
      <c r="J49" s="103"/>
      <c r="K49" s="103"/>
      <c r="L49" s="103"/>
      <c r="M49" s="103"/>
      <c r="O49" s="102"/>
    </row>
    <row r="50" s="101" customFormat="true" spans="2:15">
      <c r="B50" s="103"/>
      <c r="C50" s="103"/>
      <c r="D50" s="104"/>
      <c r="E50" s="103"/>
      <c r="F50" s="103"/>
      <c r="G50" s="103"/>
      <c r="H50" s="103"/>
      <c r="I50" s="103"/>
      <c r="J50" s="103"/>
      <c r="K50" s="103"/>
      <c r="L50" s="103"/>
      <c r="M50" s="103"/>
      <c r="O50" s="102"/>
    </row>
    <row r="51" s="101" customFormat="true" spans="2:15">
      <c r="B51" s="103"/>
      <c r="C51" s="103"/>
      <c r="D51" s="104"/>
      <c r="E51" s="103"/>
      <c r="F51" s="103">
        <f>7*0.34</f>
        <v>2.38</v>
      </c>
      <c r="G51" s="103"/>
      <c r="H51" s="103">
        <f>21.5*0.17</f>
        <v>3.655</v>
      </c>
      <c r="I51" s="103"/>
      <c r="J51" s="103"/>
      <c r="K51" s="103"/>
      <c r="L51" s="103"/>
      <c r="M51" s="103"/>
      <c r="O51" s="102"/>
    </row>
    <row r="52" s="101" customFormat="true" spans="2:15">
      <c r="B52" s="103"/>
      <c r="C52" s="103"/>
      <c r="D52" s="104"/>
      <c r="E52" s="103"/>
      <c r="F52" s="103"/>
      <c r="G52" s="103"/>
      <c r="H52" s="103"/>
      <c r="I52" s="103"/>
      <c r="J52" s="103"/>
      <c r="K52" s="103"/>
      <c r="L52" s="103"/>
      <c r="M52" s="103"/>
      <c r="O52" s="102"/>
    </row>
    <row r="53" s="101" customFormat="true"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true"/>
    <col min="2" max="2" width="21.5" style="7" customWidth="true"/>
    <col min="3" max="3" width="5.38333333333333" style="8" customWidth="true"/>
    <col min="4" max="4" width="13.1083333333333" style="8" customWidth="true"/>
    <col min="5" max="7" width="18.8333333333333" style="9" customWidth="true"/>
    <col min="8" max="8" width="16.3833333333333" style="9" customWidth="true"/>
    <col min="9" max="9" width="16.3833333333333" style="10" customWidth="true"/>
    <col min="10" max="10" width="16.3833333333333" style="11" customWidth="true"/>
    <col min="11" max="11" width="27.4333333333333" style="12" customWidth="true"/>
    <col min="12" max="12" width="10.575" style="12" customWidth="true"/>
    <col min="13" max="13" width="15.3833333333333" style="1" customWidth="true"/>
    <col min="14" max="14" width="13.8833333333333" style="13" customWidth="true"/>
    <col min="15" max="15" width="12.6333333333333" style="1"/>
    <col min="16" max="16" width="14.8833333333333" style="1" customWidth="true"/>
    <col min="17" max="17" width="9.38333333333333" style="1" customWidth="true"/>
    <col min="18" max="18" width="12.6333333333333" style="1"/>
    <col min="19" max="16384" width="9" style="1"/>
  </cols>
  <sheetData>
    <row r="1" s="1" customFormat="true" ht="28.5" customHeight="true" spans="1:14">
      <c r="A1" s="14" t="s">
        <v>228</v>
      </c>
      <c r="B1" s="14"/>
      <c r="C1" s="14"/>
      <c r="D1" s="14"/>
      <c r="E1" s="34"/>
      <c r="F1" s="34"/>
      <c r="G1" s="34"/>
      <c r="H1" s="34"/>
      <c r="I1" s="14"/>
      <c r="J1" s="41"/>
      <c r="K1" s="14"/>
      <c r="L1" s="14"/>
      <c r="N1" s="13"/>
    </row>
    <row r="2" s="1" customFormat="true" ht="9" customHeight="true" spans="1:14">
      <c r="A2" s="15"/>
      <c r="B2" s="15"/>
      <c r="C2" s="15"/>
      <c r="D2" s="15"/>
      <c r="E2" s="35"/>
      <c r="F2" s="35"/>
      <c r="G2" s="35"/>
      <c r="H2" s="35"/>
      <c r="I2" s="15"/>
      <c r="J2" s="42"/>
      <c r="K2" s="15"/>
      <c r="L2" s="15"/>
      <c r="N2" s="13"/>
    </row>
    <row r="3" s="2" customFormat="true" ht="12.95" customHeight="true" spans="1:18">
      <c r="A3" s="16" t="s">
        <v>3</v>
      </c>
      <c r="B3" s="17" t="s">
        <v>229</v>
      </c>
      <c r="C3" s="17" t="s">
        <v>230</v>
      </c>
      <c r="D3" s="17" t="s">
        <v>231</v>
      </c>
      <c r="E3" s="36" t="s">
        <v>232</v>
      </c>
      <c r="F3" s="36"/>
      <c r="G3" s="36"/>
      <c r="H3" s="36" t="s">
        <v>233</v>
      </c>
      <c r="I3" s="17" t="s">
        <v>234</v>
      </c>
      <c r="J3" s="43" t="s">
        <v>235</v>
      </c>
      <c r="K3" s="44" t="s">
        <v>90</v>
      </c>
      <c r="L3" s="45" t="s">
        <v>236</v>
      </c>
      <c r="M3" s="45"/>
      <c r="N3" s="45"/>
      <c r="O3" s="58"/>
      <c r="R3" s="1"/>
    </row>
    <row r="4" s="3" customFormat="true" ht="15" customHeight="true" spans="1:15">
      <c r="A4" s="18"/>
      <c r="B4" s="19"/>
      <c r="C4" s="20"/>
      <c r="D4" s="20"/>
      <c r="E4" s="37"/>
      <c r="F4" s="37"/>
      <c r="G4" s="37"/>
      <c r="H4" s="37"/>
      <c r="I4" s="19"/>
      <c r="J4" s="46"/>
      <c r="K4" s="47"/>
      <c r="L4" s="48" t="s">
        <v>237</v>
      </c>
      <c r="M4" s="45" t="s">
        <v>211</v>
      </c>
      <c r="N4" s="59" t="s">
        <v>238</v>
      </c>
      <c r="O4" s="45" t="s">
        <v>90</v>
      </c>
    </row>
    <row r="5" s="2" customFormat="true" ht="30" customHeight="true" spans="1:15">
      <c r="A5" s="21" t="s">
        <v>11</v>
      </c>
      <c r="B5" s="22" t="s">
        <v>239</v>
      </c>
      <c r="C5" s="23" t="s">
        <v>240</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241</v>
      </c>
      <c r="L5" s="52"/>
      <c r="M5" s="38"/>
      <c r="N5" s="60"/>
      <c r="O5" s="61"/>
    </row>
    <row r="6" s="2" customFormat="true" ht="30" customHeight="true" spans="1:15">
      <c r="A6" s="25" t="s">
        <v>242</v>
      </c>
      <c r="B6" s="26" t="s">
        <v>243</v>
      </c>
      <c r="C6" s="27" t="s">
        <v>244</v>
      </c>
      <c r="D6" s="28">
        <f>+D5</f>
        <v>204431.95</v>
      </c>
      <c r="E6" s="40">
        <v>41193566.63</v>
      </c>
      <c r="F6" s="40">
        <v>36170868.58</v>
      </c>
      <c r="G6" s="40"/>
      <c r="H6" s="40">
        <f t="shared" si="0"/>
        <v>4119.36</v>
      </c>
      <c r="I6" s="33">
        <f t="shared" si="1"/>
        <v>201.5</v>
      </c>
      <c r="J6" s="53" t="e">
        <f t="shared" si="2"/>
        <v>#REF!</v>
      </c>
      <c r="K6" s="54" t="s">
        <v>245</v>
      </c>
      <c r="L6" s="55">
        <v>194011.42</v>
      </c>
      <c r="M6" s="33">
        <f>4378.02+1020.67+557.29</f>
        <v>5955.98</v>
      </c>
      <c r="N6" s="40">
        <f t="shared" ref="N6:N9" si="3">+M6/L6*10000</f>
        <v>306.99</v>
      </c>
      <c r="O6" s="61"/>
    </row>
    <row r="7" s="2" customFormat="true" ht="30" customHeight="true" spans="1:15">
      <c r="A7" s="25" t="s">
        <v>246</v>
      </c>
      <c r="B7" s="26" t="s">
        <v>247</v>
      </c>
      <c r="C7" s="27" t="s">
        <v>244</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true" ht="30" customHeight="true" outlineLevel="1" spans="1:15">
      <c r="A8" s="25">
        <v>1</v>
      </c>
      <c r="B8" s="29" t="s">
        <v>248</v>
      </c>
      <c r="C8" s="30" t="s">
        <v>244</v>
      </c>
      <c r="D8" s="31">
        <f t="shared" ref="D8:D14" si="4">$D$7</f>
        <v>4994.28</v>
      </c>
      <c r="E8" s="40">
        <v>969340.7</v>
      </c>
      <c r="F8" s="40">
        <v>1031435.15</v>
      </c>
      <c r="G8" s="40"/>
      <c r="H8" s="40">
        <f t="shared" si="0"/>
        <v>96.93</v>
      </c>
      <c r="I8" s="33">
        <f t="shared" si="1"/>
        <v>194.09</v>
      </c>
      <c r="J8" s="53" t="e">
        <f t="shared" si="2"/>
        <v>#REF!</v>
      </c>
      <c r="K8" s="54" t="s">
        <v>249</v>
      </c>
      <c r="L8" s="55"/>
      <c r="M8" s="33"/>
      <c r="N8" s="40"/>
      <c r="O8" s="61"/>
    </row>
    <row r="9" s="2" customFormat="true" ht="30" customHeight="true" outlineLevel="1" spans="1:15">
      <c r="A9" s="25">
        <v>2</v>
      </c>
      <c r="B9" s="29" t="s">
        <v>250</v>
      </c>
      <c r="C9" s="30" t="s">
        <v>244</v>
      </c>
      <c r="D9" s="31">
        <f t="shared" si="4"/>
        <v>4994.28</v>
      </c>
      <c r="E9" s="40">
        <v>13472523.99</v>
      </c>
      <c r="F9" s="40">
        <v>13893405.11</v>
      </c>
      <c r="G9" s="40"/>
      <c r="H9" s="40">
        <f t="shared" si="0"/>
        <v>1347.25</v>
      </c>
      <c r="I9" s="33">
        <f t="shared" si="1"/>
        <v>2697.59</v>
      </c>
      <c r="J9" s="53" t="e">
        <f t="shared" si="2"/>
        <v>#REF!</v>
      </c>
      <c r="K9" s="54" t="s">
        <v>251</v>
      </c>
      <c r="L9" s="55">
        <f>+L7</f>
        <v>4724.54</v>
      </c>
      <c r="M9" s="33">
        <f>877.33+419.23+178.28+240.95</f>
        <v>1715.79</v>
      </c>
      <c r="N9" s="40">
        <f t="shared" si="3"/>
        <v>3631.66</v>
      </c>
      <c r="O9" s="61"/>
    </row>
    <row r="10" s="2" customFormat="true" ht="30" customHeight="true" outlineLevel="1" spans="1:16">
      <c r="A10" s="25">
        <v>3</v>
      </c>
      <c r="B10" s="29" t="s">
        <v>252</v>
      </c>
      <c r="C10" s="30" t="s">
        <v>244</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true" ht="30" customHeight="true" outlineLevel="1" spans="1:15">
      <c r="A11" s="25">
        <f t="shared" ref="A11:A14" si="5">A10+0.1</f>
        <v>3.1</v>
      </c>
      <c r="B11" s="32" t="s">
        <v>253</v>
      </c>
      <c r="C11" s="30" t="s">
        <v>244</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true" ht="30" customHeight="true" outlineLevel="1" spans="1:15">
      <c r="A12" s="25">
        <f t="shared" si="5"/>
        <v>3.2</v>
      </c>
      <c r="B12" s="32" t="s">
        <v>254</v>
      </c>
      <c r="C12" s="30" t="s">
        <v>244</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true" ht="30" customHeight="true" outlineLevel="1" spans="1:15">
      <c r="A13" s="25">
        <f t="shared" si="5"/>
        <v>3.3</v>
      </c>
      <c r="B13" s="32" t="s">
        <v>255</v>
      </c>
      <c r="C13" s="30" t="s">
        <v>244</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true" ht="30" customHeight="true" outlineLevel="1" spans="1:15">
      <c r="A14" s="25">
        <f t="shared" si="5"/>
        <v>3.4</v>
      </c>
      <c r="B14" s="26" t="s">
        <v>256</v>
      </c>
      <c r="C14" s="30" t="s">
        <v>244</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true" ht="30" customHeight="true" spans="1:15">
      <c r="A15" s="25" t="s">
        <v>257</v>
      </c>
      <c r="B15" s="26" t="s">
        <v>258</v>
      </c>
      <c r="C15" s="27" t="s">
        <v>244</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true" ht="30" customHeight="true" outlineLevel="1" spans="1:15">
      <c r="A16" s="25">
        <v>1</v>
      </c>
      <c r="B16" s="29" t="s">
        <v>248</v>
      </c>
      <c r="C16" s="30" t="s">
        <v>244</v>
      </c>
      <c r="D16" s="31">
        <f>D15</f>
        <v>1661.11</v>
      </c>
      <c r="E16" s="40">
        <v>319859.2</v>
      </c>
      <c r="F16" s="40">
        <v>351839.81</v>
      </c>
      <c r="G16" s="40"/>
      <c r="H16" s="40">
        <f t="shared" si="0"/>
        <v>31.99</v>
      </c>
      <c r="I16" s="33">
        <f t="shared" si="1"/>
        <v>192.56</v>
      </c>
      <c r="J16" s="53" t="e">
        <f t="shared" si="2"/>
        <v>#REF!</v>
      </c>
      <c r="K16" s="54" t="s">
        <v>249</v>
      </c>
      <c r="L16" s="55"/>
      <c r="M16" s="33"/>
      <c r="N16" s="40"/>
      <c r="O16" s="61"/>
    </row>
    <row r="17" s="2" customFormat="true" ht="38.25" outlineLevel="1" spans="1:15">
      <c r="A17" s="25">
        <v>2</v>
      </c>
      <c r="B17" s="29" t="s">
        <v>250</v>
      </c>
      <c r="C17" s="30" t="s">
        <v>244</v>
      </c>
      <c r="D17" s="31">
        <f>D15</f>
        <v>1661.11</v>
      </c>
      <c r="E17" s="40">
        <v>4359241.65</v>
      </c>
      <c r="F17" s="40">
        <v>4414997.2</v>
      </c>
      <c r="G17" s="40"/>
      <c r="H17" s="40">
        <f t="shared" si="0"/>
        <v>435.92</v>
      </c>
      <c r="I17" s="33">
        <f t="shared" si="1"/>
        <v>2624.29</v>
      </c>
      <c r="J17" s="53" t="e">
        <f t="shared" si="2"/>
        <v>#REF!</v>
      </c>
      <c r="K17" s="54" t="s">
        <v>251</v>
      </c>
      <c r="L17" s="55">
        <f>+L15</f>
        <v>1039.3</v>
      </c>
      <c r="M17" s="33">
        <f>197.47+101.33</f>
        <v>298.8</v>
      </c>
      <c r="N17" s="40">
        <f t="shared" ref="N17:N23" si="7">+M17/L17*10000</f>
        <v>2875.01</v>
      </c>
      <c r="O17" s="61"/>
    </row>
    <row r="18" s="2" customFormat="true" ht="30" customHeight="true" outlineLevel="1" spans="1:16">
      <c r="A18" s="25">
        <v>3</v>
      </c>
      <c r="B18" s="29" t="s">
        <v>252</v>
      </c>
      <c r="C18" s="30" t="s">
        <v>244</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true" ht="30" customHeight="true" outlineLevel="1" spans="1:15">
      <c r="A19" s="25">
        <f t="shared" ref="A19:A22" si="8">A17+0.1</f>
        <v>2.1</v>
      </c>
      <c r="B19" s="32" t="s">
        <v>253</v>
      </c>
      <c r="C19" s="30" t="s">
        <v>244</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true" ht="30" customHeight="true" outlineLevel="1" spans="1:15">
      <c r="A20" s="25">
        <f t="shared" si="8"/>
        <v>3.1</v>
      </c>
      <c r="B20" s="32" t="s">
        <v>254</v>
      </c>
      <c r="C20" s="30" t="s">
        <v>244</v>
      </c>
      <c r="D20" s="31">
        <f>+D15</f>
        <v>1661.11</v>
      </c>
      <c r="E20" s="40">
        <v>756243.78</v>
      </c>
      <c r="F20" s="40">
        <v>756243.78</v>
      </c>
      <c r="G20" s="40"/>
      <c r="H20" s="40">
        <f t="shared" si="0"/>
        <v>75.62</v>
      </c>
      <c r="I20" s="33">
        <f t="shared" si="1"/>
        <v>455.26</v>
      </c>
      <c r="J20" s="53" t="e">
        <f t="shared" si="2"/>
        <v>#REF!</v>
      </c>
      <c r="K20" s="54"/>
      <c r="L20" s="55"/>
      <c r="M20" s="61"/>
      <c r="N20" s="40"/>
      <c r="O20" s="61"/>
    </row>
    <row r="21" s="2" customFormat="true" ht="30" customHeight="true" outlineLevel="1" spans="1:15">
      <c r="A21" s="25">
        <f t="shared" si="8"/>
        <v>2.2</v>
      </c>
      <c r="B21" s="32" t="s">
        <v>255</v>
      </c>
      <c r="C21" s="30" t="s">
        <v>244</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true" ht="30" customHeight="true" outlineLevel="1" spans="1:15">
      <c r="A22" s="25">
        <f t="shared" si="8"/>
        <v>3.2</v>
      </c>
      <c r="B22" s="26" t="s">
        <v>256</v>
      </c>
      <c r="C22" s="30" t="s">
        <v>244</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true" ht="30" customHeight="true" spans="1:15">
      <c r="A23" s="25" t="s">
        <v>259</v>
      </c>
      <c r="B23" s="26" t="s">
        <v>260</v>
      </c>
      <c r="C23" s="27" t="s">
        <v>244</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true" ht="30" customHeight="true" outlineLevel="1" spans="1:15">
      <c r="A24" s="25">
        <v>1</v>
      </c>
      <c r="B24" s="29" t="s">
        <v>248</v>
      </c>
      <c r="C24" s="30" t="s">
        <v>244</v>
      </c>
      <c r="D24" s="31">
        <f>D23</f>
        <v>910.44</v>
      </c>
      <c r="E24" s="40">
        <v>208379.5</v>
      </c>
      <c r="F24" s="40">
        <v>180720.59</v>
      </c>
      <c r="G24" s="40"/>
      <c r="H24" s="40">
        <f t="shared" si="0"/>
        <v>20.84</v>
      </c>
      <c r="I24" s="33">
        <f t="shared" si="1"/>
        <v>228.88</v>
      </c>
      <c r="J24" s="53" t="e">
        <f t="shared" si="2"/>
        <v>#REF!</v>
      </c>
      <c r="K24" s="54" t="s">
        <v>261</v>
      </c>
      <c r="L24" s="55"/>
      <c r="M24" s="33"/>
      <c r="N24" s="40"/>
      <c r="O24" s="61"/>
    </row>
    <row r="25" s="2" customFormat="true" ht="30" customHeight="true" outlineLevel="1" spans="1:15">
      <c r="A25" s="25">
        <v>2</v>
      </c>
      <c r="B25" s="29" t="s">
        <v>250</v>
      </c>
      <c r="C25" s="30" t="s">
        <v>244</v>
      </c>
      <c r="D25" s="31">
        <f>D23</f>
        <v>910.44</v>
      </c>
      <c r="E25" s="40">
        <v>3279774.97</v>
      </c>
      <c r="F25" s="40">
        <v>3247574.46</v>
      </c>
      <c r="G25" s="40"/>
      <c r="H25" s="40">
        <f t="shared" si="0"/>
        <v>327.98</v>
      </c>
      <c r="I25" s="33">
        <f t="shared" si="1"/>
        <v>3602.41</v>
      </c>
      <c r="J25" s="53" t="e">
        <f t="shared" si="2"/>
        <v>#REF!</v>
      </c>
      <c r="K25" s="54" t="s">
        <v>251</v>
      </c>
      <c r="L25" s="55">
        <f>+L23</f>
        <v>2602.96</v>
      </c>
      <c r="M25" s="33">
        <f>494.56+253.79</f>
        <v>748.35</v>
      </c>
      <c r="N25" s="40">
        <f t="shared" ref="N25:N31" si="9">+M25/L25*10000</f>
        <v>2875</v>
      </c>
      <c r="O25" s="61"/>
    </row>
    <row r="26" s="2" customFormat="true" ht="30" customHeight="true" outlineLevel="1" spans="1:16">
      <c r="A26" s="25">
        <v>3</v>
      </c>
      <c r="B26" s="29" t="s">
        <v>252</v>
      </c>
      <c r="C26" s="30" t="s">
        <v>244</v>
      </c>
      <c r="D26" s="31">
        <f>D23</f>
        <v>910.44</v>
      </c>
      <c r="E26" s="40">
        <f>SUM(E27:E30)</f>
        <v>585754.95</v>
      </c>
      <c r="F26" s="40"/>
      <c r="G26" s="40"/>
      <c r="H26" s="40">
        <f t="shared" si="0"/>
        <v>58.58</v>
      </c>
      <c r="I26" s="56">
        <f t="shared" si="1"/>
        <v>643.38</v>
      </c>
      <c r="J26" s="53" t="e">
        <f t="shared" si="2"/>
        <v>#REF!</v>
      </c>
      <c r="K26" s="54" t="s">
        <v>262</v>
      </c>
      <c r="L26" s="55"/>
      <c r="M26" s="61"/>
      <c r="N26" s="60"/>
      <c r="O26" s="61"/>
      <c r="P26" s="2" t="e">
        <f>+E23+#REF!+E110</f>
        <v>#REF!</v>
      </c>
    </row>
    <row r="27" s="2" customFormat="true" ht="30" customHeight="true" outlineLevel="1" spans="1:15">
      <c r="A27" s="25">
        <f t="shared" ref="A27:A30" si="10">A26+0.1</f>
        <v>3.1</v>
      </c>
      <c r="B27" s="32" t="s">
        <v>253</v>
      </c>
      <c r="C27" s="30" t="s">
        <v>244</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true" ht="30" customHeight="true" outlineLevel="1" spans="1:15">
      <c r="A28" s="25">
        <f t="shared" si="10"/>
        <v>3.2</v>
      </c>
      <c r="B28" s="32" t="s">
        <v>254</v>
      </c>
      <c r="C28" s="30" t="s">
        <v>244</v>
      </c>
      <c r="D28" s="31">
        <f>D23</f>
        <v>910.44</v>
      </c>
      <c r="E28" s="40">
        <v>201135.41</v>
      </c>
      <c r="F28" s="40">
        <v>756243.78</v>
      </c>
      <c r="G28" s="40"/>
      <c r="H28" s="40">
        <f t="shared" si="0"/>
        <v>20.11</v>
      </c>
      <c r="I28" s="33">
        <f t="shared" si="1"/>
        <v>220.92</v>
      </c>
      <c r="J28" s="53" t="e">
        <f t="shared" si="2"/>
        <v>#REF!</v>
      </c>
      <c r="K28" s="54"/>
      <c r="L28" s="55"/>
      <c r="M28" s="61"/>
      <c r="N28" s="60"/>
      <c r="O28" s="61"/>
    </row>
    <row r="29" s="2" customFormat="true" ht="30" customHeight="true" outlineLevel="1" spans="1:15">
      <c r="A29" s="25">
        <f t="shared" si="10"/>
        <v>3.3</v>
      </c>
      <c r="B29" s="32" t="s">
        <v>255</v>
      </c>
      <c r="C29" s="30" t="s">
        <v>244</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true" ht="30" customHeight="true" outlineLevel="1" spans="1:15">
      <c r="A30" s="25">
        <f t="shared" si="10"/>
        <v>3.4</v>
      </c>
      <c r="B30" s="26" t="s">
        <v>256</v>
      </c>
      <c r="C30" s="30" t="s">
        <v>244</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true" ht="30" customHeight="true" spans="1:15">
      <c r="A31" s="25" t="s">
        <v>263</v>
      </c>
      <c r="B31" s="26" t="s">
        <v>264</v>
      </c>
      <c r="C31" s="27" t="s">
        <v>244</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true" ht="30" customHeight="true" outlineLevel="1" spans="1:15">
      <c r="A32" s="25">
        <v>1</v>
      </c>
      <c r="B32" s="29" t="s">
        <v>248</v>
      </c>
      <c r="C32" s="30" t="s">
        <v>244</v>
      </c>
      <c r="D32" s="31">
        <f>D31</f>
        <v>786.72</v>
      </c>
      <c r="E32" s="40">
        <v>365973.59</v>
      </c>
      <c r="F32" s="40">
        <v>423596.29</v>
      </c>
      <c r="G32" s="40"/>
      <c r="H32" s="40">
        <f t="shared" si="0"/>
        <v>36.6</v>
      </c>
      <c r="I32" s="33">
        <f t="shared" si="1"/>
        <v>465.19</v>
      </c>
      <c r="J32" s="53" t="e">
        <f t="shared" si="2"/>
        <v>#REF!</v>
      </c>
      <c r="K32" s="54" t="s">
        <v>249</v>
      </c>
      <c r="L32" s="55"/>
      <c r="M32" s="33"/>
      <c r="N32" s="40"/>
      <c r="O32" s="61"/>
    </row>
    <row r="33" s="2" customFormat="true" ht="30" customHeight="true" outlineLevel="1" spans="1:15">
      <c r="A33" s="25">
        <v>2</v>
      </c>
      <c r="B33" s="29" t="s">
        <v>250</v>
      </c>
      <c r="C33" s="30" t="s">
        <v>244</v>
      </c>
      <c r="D33" s="31">
        <f>D31</f>
        <v>786.72</v>
      </c>
      <c r="E33" s="40">
        <v>2606209.15</v>
      </c>
      <c r="F33" s="40">
        <v>2600716.73</v>
      </c>
      <c r="G33" s="40"/>
      <c r="H33" s="40">
        <f t="shared" si="0"/>
        <v>260.62</v>
      </c>
      <c r="I33" s="33">
        <f t="shared" si="1"/>
        <v>3312.75</v>
      </c>
      <c r="J33" s="53" t="e">
        <f t="shared" si="2"/>
        <v>#REF!</v>
      </c>
      <c r="K33" s="54" t="s">
        <v>251</v>
      </c>
      <c r="L33" s="55">
        <f>+L31</f>
        <v>50</v>
      </c>
      <c r="M33" s="33">
        <v>13.9</v>
      </c>
      <c r="N33" s="40">
        <f t="shared" ref="N33:N39" si="11">+M33/L33*10000</f>
        <v>2780</v>
      </c>
      <c r="O33" s="61"/>
    </row>
    <row r="34" s="2" customFormat="true" ht="30" customHeight="true" outlineLevel="1" spans="1:16">
      <c r="A34" s="25">
        <v>3</v>
      </c>
      <c r="B34" s="29" t="s">
        <v>252</v>
      </c>
      <c r="C34" s="30" t="s">
        <v>244</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true" ht="30" customHeight="true" outlineLevel="1" spans="1:15">
      <c r="A35" s="25">
        <f t="shared" ref="A35:A38" si="12">A34+0.1</f>
        <v>3.1</v>
      </c>
      <c r="B35" s="32" t="s">
        <v>253</v>
      </c>
      <c r="C35" s="30" t="s">
        <v>244</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true" ht="30" customHeight="true" outlineLevel="1" spans="1:15">
      <c r="A36" s="25">
        <f t="shared" si="12"/>
        <v>3.2</v>
      </c>
      <c r="B36" s="32" t="s">
        <v>254</v>
      </c>
      <c r="C36" s="30" t="s">
        <v>244</v>
      </c>
      <c r="D36" s="31">
        <f>D28</f>
        <v>910.44</v>
      </c>
      <c r="E36" s="40">
        <v>213207.49</v>
      </c>
      <c r="F36" s="40">
        <v>213207.49</v>
      </c>
      <c r="G36" s="40"/>
      <c r="H36" s="40">
        <f t="shared" si="0"/>
        <v>21.32</v>
      </c>
      <c r="I36" s="33">
        <f t="shared" si="1"/>
        <v>234.18</v>
      </c>
      <c r="J36" s="53" t="e">
        <f t="shared" si="2"/>
        <v>#REF!</v>
      </c>
      <c r="K36" s="54"/>
      <c r="L36" s="55"/>
      <c r="M36" s="61"/>
      <c r="N36" s="60"/>
      <c r="O36" s="61"/>
    </row>
    <row r="37" s="2" customFormat="true" ht="30" customHeight="true" outlineLevel="1" spans="1:15">
      <c r="A37" s="25">
        <f t="shared" si="12"/>
        <v>3.3</v>
      </c>
      <c r="B37" s="32" t="s">
        <v>255</v>
      </c>
      <c r="C37" s="30" t="s">
        <v>244</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true" ht="30" customHeight="true" outlineLevel="1" spans="1:15">
      <c r="A38" s="25">
        <f t="shared" si="12"/>
        <v>3.4</v>
      </c>
      <c r="B38" s="26" t="s">
        <v>256</v>
      </c>
      <c r="C38" s="30" t="s">
        <v>244</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true" ht="30" customHeight="true" spans="1:15">
      <c r="A39" s="25" t="s">
        <v>265</v>
      </c>
      <c r="B39" s="26" t="s">
        <v>266</v>
      </c>
      <c r="C39" s="27" t="s">
        <v>244</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true" ht="30" customHeight="true" outlineLevel="1" spans="1:15">
      <c r="A40" s="25">
        <v>1</v>
      </c>
      <c r="B40" s="29" t="s">
        <v>267</v>
      </c>
      <c r="C40" s="30" t="s">
        <v>244</v>
      </c>
      <c r="D40" s="31">
        <v>1446.37</v>
      </c>
      <c r="E40" s="40">
        <v>579335.5</v>
      </c>
      <c r="F40" s="40">
        <v>579335.5</v>
      </c>
      <c r="G40" s="40"/>
      <c r="H40" s="40">
        <f t="shared" si="0"/>
        <v>57.93</v>
      </c>
      <c r="I40" s="33">
        <f t="shared" si="1"/>
        <v>400.54</v>
      </c>
      <c r="J40" s="53" t="e">
        <f t="shared" si="2"/>
        <v>#REF!</v>
      </c>
      <c r="K40" s="54" t="s">
        <v>249</v>
      </c>
      <c r="L40" s="57">
        <f>+L39</f>
        <v>1450</v>
      </c>
      <c r="M40" s="33">
        <v>348</v>
      </c>
      <c r="N40" s="40">
        <v>3740</v>
      </c>
      <c r="O40" s="61"/>
    </row>
    <row r="41" s="2" customFormat="true" ht="25.5" outlineLevel="1" spans="1:15">
      <c r="A41" s="25">
        <v>2</v>
      </c>
      <c r="B41" s="29" t="s">
        <v>268</v>
      </c>
      <c r="C41" s="30" t="s">
        <v>244</v>
      </c>
      <c r="D41" s="31">
        <f>+D40</f>
        <v>1446.37</v>
      </c>
      <c r="E41" s="40">
        <v>3352793.74</v>
      </c>
      <c r="F41" s="40">
        <v>3358633.57</v>
      </c>
      <c r="G41" s="40"/>
      <c r="H41" s="40">
        <f t="shared" si="0"/>
        <v>335.28</v>
      </c>
      <c r="I41" s="33">
        <f t="shared" si="1"/>
        <v>2318.07</v>
      </c>
      <c r="J41" s="53" t="e">
        <f t="shared" si="2"/>
        <v>#REF!</v>
      </c>
      <c r="K41" s="54" t="s">
        <v>269</v>
      </c>
      <c r="L41" s="57"/>
      <c r="M41" s="33"/>
      <c r="N41" s="40"/>
      <c r="O41" s="61"/>
    </row>
    <row r="42" s="2" customFormat="true" ht="30" customHeight="true" outlineLevel="1" spans="1:15">
      <c r="A42" s="25">
        <v>3</v>
      </c>
      <c r="B42" s="29" t="s">
        <v>270</v>
      </c>
      <c r="C42" s="30" t="s">
        <v>244</v>
      </c>
      <c r="D42" s="31">
        <v>407.28</v>
      </c>
      <c r="E42" s="40">
        <v>68333.31</v>
      </c>
      <c r="F42" s="40">
        <v>68333.31</v>
      </c>
      <c r="G42" s="40"/>
      <c r="H42" s="40">
        <f t="shared" si="0"/>
        <v>6.83</v>
      </c>
      <c r="I42" s="33">
        <f t="shared" si="1"/>
        <v>167.78</v>
      </c>
      <c r="J42" s="53" t="e">
        <f t="shared" si="2"/>
        <v>#REF!</v>
      </c>
      <c r="K42" s="54" t="s">
        <v>261</v>
      </c>
      <c r="L42" s="57"/>
      <c r="M42" s="33"/>
      <c r="N42" s="40"/>
      <c r="O42" s="61"/>
    </row>
    <row r="43" s="2" customFormat="true" ht="30" customHeight="true" outlineLevel="1" spans="1:15">
      <c r="A43" s="25">
        <v>4</v>
      </c>
      <c r="B43" s="29" t="s">
        <v>271</v>
      </c>
      <c r="C43" s="30" t="s">
        <v>244</v>
      </c>
      <c r="D43" s="31">
        <v>407.28</v>
      </c>
      <c r="E43" s="40">
        <v>857795.11</v>
      </c>
      <c r="F43" s="40">
        <v>905510.52</v>
      </c>
      <c r="G43" s="40"/>
      <c r="H43" s="40">
        <f t="shared" si="0"/>
        <v>85.78</v>
      </c>
      <c r="I43" s="33">
        <f t="shared" si="1"/>
        <v>2106.16</v>
      </c>
      <c r="J43" s="53" t="e">
        <f t="shared" si="2"/>
        <v>#REF!</v>
      </c>
      <c r="K43" s="54" t="s">
        <v>269</v>
      </c>
      <c r="L43" s="57"/>
      <c r="M43" s="33"/>
      <c r="N43" s="40"/>
      <c r="O43" s="61"/>
    </row>
    <row r="44" s="2" customFormat="true" ht="30" customHeight="true" outlineLevel="1" spans="1:15">
      <c r="A44" s="25">
        <v>5</v>
      </c>
      <c r="B44" s="29" t="s">
        <v>272</v>
      </c>
      <c r="C44" s="30" t="s">
        <v>244</v>
      </c>
      <c r="D44" s="31">
        <v>545.04</v>
      </c>
      <c r="E44" s="40">
        <v>180818.72</v>
      </c>
      <c r="F44" s="40">
        <v>180818.72</v>
      </c>
      <c r="G44" s="40"/>
      <c r="H44" s="40">
        <f t="shared" si="0"/>
        <v>18.08</v>
      </c>
      <c r="I44" s="33">
        <f t="shared" si="1"/>
        <v>331.75</v>
      </c>
      <c r="J44" s="53" t="e">
        <f t="shared" si="2"/>
        <v>#REF!</v>
      </c>
      <c r="K44" s="54" t="s">
        <v>249</v>
      </c>
      <c r="L44" s="57"/>
      <c r="M44" s="33"/>
      <c r="N44" s="40"/>
      <c r="O44" s="61"/>
    </row>
    <row r="45" s="2" customFormat="true" ht="30" customHeight="true" outlineLevel="1" spans="1:15">
      <c r="A45" s="25">
        <v>6</v>
      </c>
      <c r="B45" s="29" t="s">
        <v>273</v>
      </c>
      <c r="C45" s="30" t="s">
        <v>244</v>
      </c>
      <c r="D45" s="31">
        <v>545.04</v>
      </c>
      <c r="E45" s="40">
        <v>982424.62</v>
      </c>
      <c r="F45" s="40">
        <v>982876.34</v>
      </c>
      <c r="G45" s="40"/>
      <c r="H45" s="40">
        <f t="shared" si="0"/>
        <v>98.24</v>
      </c>
      <c r="I45" s="33">
        <f t="shared" si="1"/>
        <v>1802.48</v>
      </c>
      <c r="J45" s="53" t="e">
        <f t="shared" si="2"/>
        <v>#REF!</v>
      </c>
      <c r="K45" s="54" t="s">
        <v>269</v>
      </c>
      <c r="L45" s="57"/>
      <c r="M45" s="33"/>
      <c r="N45" s="40"/>
      <c r="O45" s="61"/>
    </row>
    <row r="46" s="2" customFormat="true" ht="30" customHeight="true" outlineLevel="1" spans="1:15">
      <c r="A46" s="25">
        <v>7</v>
      </c>
      <c r="B46" s="29" t="s">
        <v>274</v>
      </c>
      <c r="C46" s="30" t="s">
        <v>244</v>
      </c>
      <c r="D46" s="31">
        <v>568.61</v>
      </c>
      <c r="E46" s="40">
        <v>263164.13</v>
      </c>
      <c r="F46" s="40">
        <v>263164.13</v>
      </c>
      <c r="G46" s="40"/>
      <c r="H46" s="40">
        <f t="shared" si="0"/>
        <v>26.32</v>
      </c>
      <c r="I46" s="33">
        <f t="shared" si="1"/>
        <v>462.82</v>
      </c>
      <c r="J46" s="53" t="e">
        <f t="shared" si="2"/>
        <v>#REF!</v>
      </c>
      <c r="K46" s="54" t="s">
        <v>249</v>
      </c>
      <c r="L46" s="57"/>
      <c r="M46" s="33"/>
      <c r="N46" s="40"/>
      <c r="O46" s="61"/>
    </row>
    <row r="47" s="2" customFormat="true" ht="30" customHeight="true" outlineLevel="1" spans="1:15">
      <c r="A47" s="25">
        <v>8</v>
      </c>
      <c r="B47" s="29" t="s">
        <v>275</v>
      </c>
      <c r="C47" s="30" t="s">
        <v>244</v>
      </c>
      <c r="D47" s="31">
        <v>568.61</v>
      </c>
      <c r="E47" s="40">
        <v>1534009.91</v>
      </c>
      <c r="F47" s="40">
        <v>1528014.32</v>
      </c>
      <c r="G47" s="40"/>
      <c r="H47" s="40">
        <f t="shared" si="0"/>
        <v>153.4</v>
      </c>
      <c r="I47" s="33">
        <f t="shared" si="1"/>
        <v>2697.82</v>
      </c>
      <c r="J47" s="53" t="e">
        <f t="shared" si="2"/>
        <v>#REF!</v>
      </c>
      <c r="K47" s="54" t="s">
        <v>269</v>
      </c>
      <c r="L47" s="57"/>
      <c r="M47" s="33"/>
      <c r="N47" s="40"/>
      <c r="O47" s="61"/>
    </row>
    <row r="48" s="2" customFormat="true" ht="30" customHeight="true" outlineLevel="1" spans="1:15">
      <c r="A48" s="25">
        <v>9</v>
      </c>
      <c r="B48" s="29" t="s">
        <v>276</v>
      </c>
      <c r="C48" s="30" t="s">
        <v>244</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true" ht="30" customHeight="true" outlineLevel="1" spans="1:15">
      <c r="A49" s="25">
        <v>10</v>
      </c>
      <c r="B49" s="29" t="s">
        <v>277</v>
      </c>
      <c r="C49" s="30" t="s">
        <v>244</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true" ht="30" customHeight="true" spans="1:15">
      <c r="A50" s="25" t="s">
        <v>278</v>
      </c>
      <c r="B50" s="26" t="s">
        <v>279</v>
      </c>
      <c r="C50" s="27" t="s">
        <v>244</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true" ht="30" customHeight="true" outlineLevel="1" spans="1:15">
      <c r="A51" s="25">
        <v>1</v>
      </c>
      <c r="B51" s="29" t="s">
        <v>248</v>
      </c>
      <c r="C51" s="30" t="s">
        <v>244</v>
      </c>
      <c r="D51" s="31">
        <f>D50</f>
        <v>1000</v>
      </c>
      <c r="E51" s="40">
        <v>17324.38</v>
      </c>
      <c r="F51" s="40">
        <v>17324.38</v>
      </c>
      <c r="G51" s="40"/>
      <c r="H51" s="40">
        <f t="shared" si="0"/>
        <v>1.73</v>
      </c>
      <c r="I51" s="33">
        <f t="shared" si="1"/>
        <v>17.32</v>
      </c>
      <c r="J51" s="53" t="e">
        <f t="shared" si="2"/>
        <v>#REF!</v>
      </c>
      <c r="K51" s="54" t="s">
        <v>261</v>
      </c>
      <c r="L51" s="55"/>
      <c r="M51" s="33"/>
      <c r="N51" s="40"/>
      <c r="O51" s="61"/>
    </row>
    <row r="52" s="2" customFormat="true" ht="38.25" outlineLevel="1" spans="1:15">
      <c r="A52" s="25">
        <v>2</v>
      </c>
      <c r="B52" s="29" t="s">
        <v>250</v>
      </c>
      <c r="C52" s="30" t="s">
        <v>244</v>
      </c>
      <c r="D52" s="31">
        <f>D50</f>
        <v>1000</v>
      </c>
      <c r="E52" s="40">
        <v>2492645.9</v>
      </c>
      <c r="F52" s="40">
        <v>2462715.29</v>
      </c>
      <c r="G52" s="40"/>
      <c r="H52" s="40">
        <f t="shared" si="0"/>
        <v>249.26</v>
      </c>
      <c r="I52" s="33">
        <f t="shared" si="1"/>
        <v>2492.65</v>
      </c>
      <c r="J52" s="53" t="e">
        <f t="shared" si="2"/>
        <v>#REF!</v>
      </c>
      <c r="K52" s="54" t="s">
        <v>251</v>
      </c>
      <c r="L52" s="55">
        <f>+L50</f>
        <v>1000</v>
      </c>
      <c r="M52" s="33">
        <v>295</v>
      </c>
      <c r="N52" s="40">
        <f t="shared" ref="N52:N58" si="14">+M52/L52*10000</f>
        <v>2950</v>
      </c>
      <c r="O52" s="61"/>
    </row>
    <row r="53" s="2" customFormat="true" ht="30" customHeight="true" outlineLevel="1" spans="1:16">
      <c r="A53" s="25">
        <v>3</v>
      </c>
      <c r="B53" s="29" t="s">
        <v>252</v>
      </c>
      <c r="C53" s="30" t="s">
        <v>244</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true" ht="30" customHeight="true" outlineLevel="1" spans="1:15">
      <c r="A54" s="25">
        <f t="shared" ref="A54:A57" si="15">A53+0.1</f>
        <v>3.1</v>
      </c>
      <c r="B54" s="32" t="s">
        <v>253</v>
      </c>
      <c r="C54" s="30" t="s">
        <v>244</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true" ht="30" customHeight="true" outlineLevel="1" spans="1:15">
      <c r="A55" s="25">
        <f t="shared" si="15"/>
        <v>3.2</v>
      </c>
      <c r="B55" s="32" t="s">
        <v>254</v>
      </c>
      <c r="C55" s="30" t="s">
        <v>244</v>
      </c>
      <c r="D55" s="31">
        <f>D50</f>
        <v>1000</v>
      </c>
      <c r="E55" s="40">
        <v>23196.19</v>
      </c>
      <c r="F55" s="40">
        <v>23196.19</v>
      </c>
      <c r="G55" s="40"/>
      <c r="H55" s="40">
        <f t="shared" si="0"/>
        <v>2.32</v>
      </c>
      <c r="I55" s="33">
        <f t="shared" si="1"/>
        <v>23.2</v>
      </c>
      <c r="J55" s="53" t="e">
        <f t="shared" si="2"/>
        <v>#REF!</v>
      </c>
      <c r="K55" s="54"/>
      <c r="L55" s="55"/>
      <c r="M55" s="61"/>
      <c r="N55" s="60"/>
      <c r="O55" s="61"/>
    </row>
    <row r="56" s="2" customFormat="true" ht="30" customHeight="true" outlineLevel="1" spans="1:15">
      <c r="A56" s="25">
        <f t="shared" si="15"/>
        <v>3.3</v>
      </c>
      <c r="B56" s="32" t="s">
        <v>255</v>
      </c>
      <c r="C56" s="30" t="s">
        <v>244</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true" ht="30" customHeight="true" outlineLevel="1" spans="1:15">
      <c r="A57" s="25">
        <f t="shared" si="15"/>
        <v>3.4</v>
      </c>
      <c r="B57" s="26" t="s">
        <v>256</v>
      </c>
      <c r="C57" s="30" t="s">
        <v>244</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true" ht="30" customHeight="true" spans="1:15">
      <c r="A58" s="25" t="s">
        <v>280</v>
      </c>
      <c r="B58" s="26" t="s">
        <v>281</v>
      </c>
      <c r="C58" s="27" t="s">
        <v>244</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true" ht="30" customHeight="true" outlineLevel="1" spans="1:15">
      <c r="A59" s="25">
        <v>1</v>
      </c>
      <c r="B59" s="29" t="s">
        <v>248</v>
      </c>
      <c r="C59" s="30" t="s">
        <v>244</v>
      </c>
      <c r="D59" s="31">
        <f>D58</f>
        <v>39.44</v>
      </c>
      <c r="E59" s="40">
        <v>1599.53</v>
      </c>
      <c r="F59" s="40">
        <v>1599.53</v>
      </c>
      <c r="G59" s="40"/>
      <c r="H59" s="40">
        <f t="shared" si="0"/>
        <v>0.16</v>
      </c>
      <c r="I59" s="33">
        <f t="shared" si="1"/>
        <v>40.56</v>
      </c>
      <c r="J59" s="53" t="e">
        <f t="shared" si="2"/>
        <v>#REF!</v>
      </c>
      <c r="K59" s="54" t="s">
        <v>261</v>
      </c>
      <c r="L59" s="55"/>
      <c r="M59" s="33"/>
      <c r="N59" s="40"/>
      <c r="O59" s="61"/>
    </row>
    <row r="60" s="2" customFormat="true" ht="30" customHeight="true" outlineLevel="1" spans="1:15">
      <c r="A60" s="25">
        <v>2</v>
      </c>
      <c r="B60" s="29" t="s">
        <v>250</v>
      </c>
      <c r="C60" s="30" t="s">
        <v>244</v>
      </c>
      <c r="D60" s="31">
        <f>D58</f>
        <v>39.44</v>
      </c>
      <c r="E60" s="40">
        <v>173336.81</v>
      </c>
      <c r="F60" s="40">
        <v>171873.55</v>
      </c>
      <c r="G60" s="40"/>
      <c r="H60" s="40">
        <f t="shared" si="0"/>
        <v>17.33</v>
      </c>
      <c r="I60" s="33">
        <f t="shared" si="1"/>
        <v>4394.95</v>
      </c>
      <c r="J60" s="53" t="e">
        <f t="shared" si="2"/>
        <v>#REF!</v>
      </c>
      <c r="K60" s="54" t="s">
        <v>251</v>
      </c>
      <c r="L60" s="55">
        <f>+L58</f>
        <v>80</v>
      </c>
      <c r="M60" s="33">
        <v>35.04</v>
      </c>
      <c r="N60" s="40">
        <f t="shared" ref="N60:N65" si="16">+M60/L60*10000</f>
        <v>4380</v>
      </c>
      <c r="O60" s="61"/>
    </row>
    <row r="61" s="2" customFormat="true" ht="30" customHeight="true" outlineLevel="1" spans="1:16">
      <c r="A61" s="25">
        <v>3</v>
      </c>
      <c r="B61" s="29" t="s">
        <v>252</v>
      </c>
      <c r="C61" s="30" t="s">
        <v>244</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true" ht="30" customHeight="true" outlineLevel="1" spans="1:15">
      <c r="A62" s="25">
        <f t="shared" ref="A62:A65" si="17">A61+0.1</f>
        <v>3.1</v>
      </c>
      <c r="B62" s="32" t="s">
        <v>253</v>
      </c>
      <c r="C62" s="30" t="s">
        <v>244</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true" ht="30" customHeight="true" outlineLevel="1" spans="1:15">
      <c r="A63" s="25">
        <f t="shared" si="17"/>
        <v>3.2</v>
      </c>
      <c r="B63" s="32" t="s">
        <v>254</v>
      </c>
      <c r="C63" s="30" t="s">
        <v>244</v>
      </c>
      <c r="D63" s="31">
        <f>D58</f>
        <v>39.44</v>
      </c>
      <c r="E63" s="40">
        <v>4282.87</v>
      </c>
      <c r="F63" s="40">
        <v>4282.87</v>
      </c>
      <c r="G63" s="40"/>
      <c r="H63" s="40">
        <f t="shared" si="0"/>
        <v>0.43</v>
      </c>
      <c r="I63" s="33">
        <f t="shared" si="1"/>
        <v>108.59</v>
      </c>
      <c r="J63" s="53" t="e">
        <f t="shared" si="2"/>
        <v>#REF!</v>
      </c>
      <c r="K63" s="54"/>
      <c r="L63" s="55"/>
      <c r="M63" s="61"/>
      <c r="N63" s="60"/>
      <c r="O63" s="61"/>
    </row>
    <row r="64" s="2" customFormat="true" ht="30" customHeight="true" outlineLevel="1" spans="1:15">
      <c r="A64" s="25">
        <f t="shared" si="17"/>
        <v>3.3</v>
      </c>
      <c r="B64" s="32" t="s">
        <v>255</v>
      </c>
      <c r="C64" s="30" t="s">
        <v>244</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true" ht="30" customHeight="true" outlineLevel="1" spans="1:15">
      <c r="A65" s="25">
        <f t="shared" si="17"/>
        <v>3.4</v>
      </c>
      <c r="B65" s="26" t="s">
        <v>256</v>
      </c>
      <c r="C65" s="30" t="s">
        <v>244</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true" ht="30" customHeight="true" spans="1:15">
      <c r="A66" s="25" t="s">
        <v>282</v>
      </c>
      <c r="B66" s="26" t="s">
        <v>283</v>
      </c>
      <c r="C66" s="27" t="s">
        <v>244</v>
      </c>
      <c r="D66" s="33">
        <v>77.7</v>
      </c>
      <c r="E66" s="40">
        <f>SUM(E67:E69)</f>
        <v>1857326.41</v>
      </c>
      <c r="F66" s="40"/>
      <c r="G66" s="40"/>
      <c r="H66" s="40">
        <f t="shared" si="0"/>
        <v>185.73</v>
      </c>
      <c r="I66" s="33">
        <f t="shared" si="1"/>
        <v>23903.81</v>
      </c>
      <c r="J66" s="53" t="e">
        <f t="shared" si="2"/>
        <v>#REF!</v>
      </c>
      <c r="K66" s="54"/>
      <c r="L66" s="55"/>
      <c r="M66" s="33">
        <v>50</v>
      </c>
      <c r="N66" s="40"/>
      <c r="O66" s="61"/>
    </row>
    <row r="67" s="2" customFormat="true" ht="30" customHeight="true" outlineLevel="1" spans="1:15">
      <c r="A67" s="25">
        <v>1</v>
      </c>
      <c r="B67" s="29" t="s">
        <v>248</v>
      </c>
      <c r="C67" s="30" t="s">
        <v>244</v>
      </c>
      <c r="D67" s="31">
        <v>32.5</v>
      </c>
      <c r="E67" s="40">
        <v>94435.09</v>
      </c>
      <c r="F67" s="40">
        <v>94435.09</v>
      </c>
      <c r="G67" s="40"/>
      <c r="H67" s="40">
        <f t="shared" si="0"/>
        <v>9.44</v>
      </c>
      <c r="I67" s="33">
        <f t="shared" si="1"/>
        <v>2905.7</v>
      </c>
      <c r="J67" s="53" t="e">
        <f t="shared" si="2"/>
        <v>#REF!</v>
      </c>
      <c r="K67" s="54" t="s">
        <v>261</v>
      </c>
      <c r="L67" s="55"/>
      <c r="M67" s="33"/>
      <c r="N67" s="40"/>
      <c r="O67" s="61"/>
    </row>
    <row r="68" s="2" customFormat="true" ht="30" customHeight="true" outlineLevel="1" spans="1:15">
      <c r="A68" s="25">
        <v>2</v>
      </c>
      <c r="B68" s="29" t="s">
        <v>250</v>
      </c>
      <c r="C68" s="30" t="s">
        <v>244</v>
      </c>
      <c r="D68" s="31">
        <f>D66</f>
        <v>77.7</v>
      </c>
      <c r="E68" s="40">
        <v>1698274.95</v>
      </c>
      <c r="F68" s="40">
        <v>1695692.85</v>
      </c>
      <c r="G68" s="40"/>
      <c r="H68" s="40">
        <f t="shared" si="0"/>
        <v>169.83</v>
      </c>
      <c r="I68" s="33">
        <f t="shared" si="1"/>
        <v>21856.82</v>
      </c>
      <c r="J68" s="53" t="e">
        <f t="shared" si="2"/>
        <v>#REF!</v>
      </c>
      <c r="K68" s="54" t="s">
        <v>251</v>
      </c>
      <c r="L68" s="55"/>
      <c r="M68" s="33"/>
      <c r="N68" s="40"/>
      <c r="O68" s="61"/>
    </row>
    <row r="69" s="2" customFormat="true" ht="30" customHeight="true" outlineLevel="1" spans="1:16">
      <c r="A69" s="25">
        <v>3</v>
      </c>
      <c r="B69" s="29" t="s">
        <v>252</v>
      </c>
      <c r="C69" s="30" t="s">
        <v>244</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true" ht="30" customHeight="true" outlineLevel="1" spans="1:15">
      <c r="A70" s="25">
        <f t="shared" ref="A70:A73" si="21">A69+0.1</f>
        <v>3.1</v>
      </c>
      <c r="B70" s="32" t="s">
        <v>253</v>
      </c>
      <c r="C70" s="30" t="s">
        <v>244</v>
      </c>
      <c r="D70" s="31">
        <f>D66</f>
        <v>77.7</v>
      </c>
      <c r="E70" s="40">
        <v>45329.88</v>
      </c>
      <c r="F70" s="40">
        <v>50896.94</v>
      </c>
      <c r="G70" s="40"/>
      <c r="H70" s="40">
        <f t="shared" si="18"/>
        <v>4.53</v>
      </c>
      <c r="I70" s="33">
        <f t="shared" si="19"/>
        <v>583.4</v>
      </c>
      <c r="J70" s="53" t="e">
        <f t="shared" si="20"/>
        <v>#REF!</v>
      </c>
      <c r="K70" s="54"/>
      <c r="L70" s="55"/>
      <c r="M70" s="61"/>
      <c r="N70" s="60"/>
      <c r="O70" s="61"/>
    </row>
    <row r="71" s="2" customFormat="true" ht="30" customHeight="true" outlineLevel="1" spans="1:15">
      <c r="A71" s="25">
        <f t="shared" si="21"/>
        <v>3.2</v>
      </c>
      <c r="B71" s="32" t="s">
        <v>254</v>
      </c>
      <c r="C71" s="30" t="s">
        <v>244</v>
      </c>
      <c r="D71" s="31">
        <f>D66</f>
        <v>77.7</v>
      </c>
      <c r="E71" s="40">
        <v>8653.32</v>
      </c>
      <c r="F71" s="40">
        <v>8653.32</v>
      </c>
      <c r="G71" s="40"/>
      <c r="H71" s="40">
        <f t="shared" si="18"/>
        <v>0.87</v>
      </c>
      <c r="I71" s="33">
        <f t="shared" si="19"/>
        <v>111.37</v>
      </c>
      <c r="J71" s="53" t="e">
        <f t="shared" si="20"/>
        <v>#REF!</v>
      </c>
      <c r="K71" s="54"/>
      <c r="L71" s="55"/>
      <c r="M71" s="61"/>
      <c r="N71" s="60"/>
      <c r="O71" s="61"/>
    </row>
    <row r="72" s="2" customFormat="true" ht="30" customHeight="true" outlineLevel="1" spans="1:15">
      <c r="A72" s="25">
        <f t="shared" si="21"/>
        <v>3.3</v>
      </c>
      <c r="B72" s="32" t="s">
        <v>255</v>
      </c>
      <c r="C72" s="30" t="s">
        <v>244</v>
      </c>
      <c r="D72" s="31">
        <f>D66</f>
        <v>77.7</v>
      </c>
      <c r="E72" s="40">
        <v>3904.51</v>
      </c>
      <c r="F72" s="40">
        <v>3904.51</v>
      </c>
      <c r="G72" s="40"/>
      <c r="H72" s="40">
        <f t="shared" si="18"/>
        <v>0.39</v>
      </c>
      <c r="I72" s="33">
        <f t="shared" si="19"/>
        <v>50.25</v>
      </c>
      <c r="J72" s="53" t="e">
        <f t="shared" si="20"/>
        <v>#REF!</v>
      </c>
      <c r="K72" s="54"/>
      <c r="L72" s="55"/>
      <c r="M72" s="61"/>
      <c r="N72" s="60"/>
      <c r="O72" s="61"/>
    </row>
    <row r="73" s="2" customFormat="true" ht="30" customHeight="true" outlineLevel="1" spans="1:15">
      <c r="A73" s="25">
        <f t="shared" si="21"/>
        <v>3.4</v>
      </c>
      <c r="B73" s="26" t="s">
        <v>256</v>
      </c>
      <c r="C73" s="30" t="s">
        <v>244</v>
      </c>
      <c r="D73" s="31">
        <f>D66</f>
        <v>77.7</v>
      </c>
      <c r="E73" s="40">
        <v>6728.66</v>
      </c>
      <c r="F73" s="40">
        <v>6849.6</v>
      </c>
      <c r="G73" s="40"/>
      <c r="H73" s="40">
        <f t="shared" si="18"/>
        <v>0.67</v>
      </c>
      <c r="I73" s="33">
        <f t="shared" si="19"/>
        <v>86.6</v>
      </c>
      <c r="J73" s="53" t="e">
        <f t="shared" si="20"/>
        <v>#REF!</v>
      </c>
      <c r="K73" s="54"/>
      <c r="L73" s="55"/>
      <c r="M73" s="61"/>
      <c r="N73" s="60"/>
      <c r="O73" s="61"/>
    </row>
    <row r="74" s="2" customFormat="true" ht="30" customHeight="true" spans="1:15">
      <c r="A74" s="25" t="s">
        <v>284</v>
      </c>
      <c r="B74" s="26" t="s">
        <v>285</v>
      </c>
      <c r="C74" s="27" t="s">
        <v>244</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true" ht="30" customHeight="true" outlineLevel="1" spans="1:15">
      <c r="A75" s="25">
        <v>1</v>
      </c>
      <c r="B75" s="29" t="s">
        <v>248</v>
      </c>
      <c r="C75" s="30" t="s">
        <v>244</v>
      </c>
      <c r="D75" s="31">
        <f>D74</f>
        <v>200.2</v>
      </c>
      <c r="E75" s="40">
        <v>51934.82</v>
      </c>
      <c r="F75" s="40">
        <v>46748.77</v>
      </c>
      <c r="G75" s="40"/>
      <c r="H75" s="40">
        <f t="shared" si="18"/>
        <v>5.19</v>
      </c>
      <c r="I75" s="33">
        <f t="shared" si="19"/>
        <v>259.41</v>
      </c>
      <c r="J75" s="53" t="e">
        <f t="shared" si="20"/>
        <v>#REF!</v>
      </c>
      <c r="K75" s="54" t="s">
        <v>261</v>
      </c>
      <c r="L75" s="55"/>
      <c r="M75" s="33"/>
      <c r="N75" s="40"/>
      <c r="O75" s="61"/>
    </row>
    <row r="76" s="2" customFormat="true" ht="30" customHeight="true" outlineLevel="1" spans="1:15">
      <c r="A76" s="25">
        <v>2</v>
      </c>
      <c r="B76" s="29" t="s">
        <v>250</v>
      </c>
      <c r="C76" s="30" t="s">
        <v>244</v>
      </c>
      <c r="D76" s="31">
        <f>D74</f>
        <v>200.2</v>
      </c>
      <c r="E76" s="40">
        <v>529123.71</v>
      </c>
      <c r="F76" s="40">
        <v>518752.22</v>
      </c>
      <c r="G76" s="40"/>
      <c r="H76" s="40">
        <f t="shared" si="18"/>
        <v>52.91</v>
      </c>
      <c r="I76" s="33">
        <f t="shared" si="19"/>
        <v>2642.98</v>
      </c>
      <c r="J76" s="53" t="e">
        <f t="shared" si="20"/>
        <v>#REF!</v>
      </c>
      <c r="K76" s="54" t="s">
        <v>251</v>
      </c>
      <c r="L76" s="55">
        <f>+L74</f>
        <v>200</v>
      </c>
      <c r="M76" s="33">
        <v>70</v>
      </c>
      <c r="N76" s="40">
        <f t="shared" si="22"/>
        <v>3500</v>
      </c>
      <c r="O76" s="61"/>
    </row>
    <row r="77" s="2" customFormat="true" ht="30" customHeight="true" outlineLevel="1" spans="1:16">
      <c r="A77" s="25">
        <v>3</v>
      </c>
      <c r="B77" s="29" t="s">
        <v>252</v>
      </c>
      <c r="C77" s="30" t="s">
        <v>244</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true" ht="30" customHeight="true" outlineLevel="1" spans="1:15">
      <c r="A78" s="25">
        <f t="shared" ref="A78:A82" si="23">A77+0.1</f>
        <v>3.1</v>
      </c>
      <c r="B78" s="32" t="s">
        <v>253</v>
      </c>
      <c r="C78" s="30" t="s">
        <v>244</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true" ht="30" customHeight="true" outlineLevel="1" spans="1:15">
      <c r="A79" s="25">
        <f t="shared" si="23"/>
        <v>3.2</v>
      </c>
      <c r="B79" s="32" t="s">
        <v>254</v>
      </c>
      <c r="C79" s="30" t="s">
        <v>244</v>
      </c>
      <c r="D79" s="31">
        <f>D74</f>
        <v>200.2</v>
      </c>
      <c r="E79" s="40">
        <v>25359.2</v>
      </c>
      <c r="F79" s="40">
        <v>25359.2</v>
      </c>
      <c r="G79" s="40"/>
      <c r="H79" s="40">
        <f t="shared" si="18"/>
        <v>2.54</v>
      </c>
      <c r="I79" s="33">
        <f t="shared" si="19"/>
        <v>126.67</v>
      </c>
      <c r="J79" s="53" t="e">
        <f t="shared" si="20"/>
        <v>#REF!</v>
      </c>
      <c r="K79" s="54"/>
      <c r="L79" s="55"/>
      <c r="M79" s="61"/>
      <c r="N79" s="60"/>
      <c r="O79" s="61"/>
    </row>
    <row r="80" s="2" customFormat="true" ht="30" customHeight="true" outlineLevel="1" spans="1:15">
      <c r="A80" s="25">
        <f t="shared" si="23"/>
        <v>3.3</v>
      </c>
      <c r="B80" s="32" t="s">
        <v>255</v>
      </c>
      <c r="C80" s="30" t="s">
        <v>244</v>
      </c>
      <c r="D80" s="31">
        <f>D74</f>
        <v>200.2</v>
      </c>
      <c r="E80" s="40">
        <v>2270.1</v>
      </c>
      <c r="F80" s="40">
        <v>2270.1</v>
      </c>
      <c r="G80" s="40"/>
      <c r="H80" s="40">
        <f t="shared" si="18"/>
        <v>0.23</v>
      </c>
      <c r="I80" s="33">
        <f t="shared" si="19"/>
        <v>11.34</v>
      </c>
      <c r="J80" s="53" t="e">
        <f t="shared" si="20"/>
        <v>#REF!</v>
      </c>
      <c r="K80" s="54"/>
      <c r="L80" s="55"/>
      <c r="M80" s="61"/>
      <c r="N80" s="60"/>
      <c r="O80" s="61"/>
    </row>
    <row r="81" s="2" customFormat="true" ht="30" customHeight="true" outlineLevel="1" spans="1:15">
      <c r="A81" s="25">
        <f t="shared" si="23"/>
        <v>3.4</v>
      </c>
      <c r="B81" s="26" t="s">
        <v>256</v>
      </c>
      <c r="C81" s="30" t="s">
        <v>244</v>
      </c>
      <c r="D81" s="31">
        <f>D74</f>
        <v>200.2</v>
      </c>
      <c r="E81" s="40">
        <v>2520.77</v>
      </c>
      <c r="F81" s="40">
        <v>2520.77</v>
      </c>
      <c r="G81" s="40"/>
      <c r="H81" s="40">
        <f t="shared" si="18"/>
        <v>0.25</v>
      </c>
      <c r="I81" s="33">
        <f t="shared" si="19"/>
        <v>12.59</v>
      </c>
      <c r="J81" s="53" t="e">
        <f t="shared" si="20"/>
        <v>#REF!</v>
      </c>
      <c r="K81" s="54"/>
      <c r="L81" s="55"/>
      <c r="M81" s="61"/>
      <c r="N81" s="60"/>
      <c r="O81" s="61"/>
    </row>
    <row r="82" s="2" customFormat="true" ht="30" customHeight="true" outlineLevel="1" spans="1:15">
      <c r="A82" s="25">
        <f t="shared" si="23"/>
        <v>3.5</v>
      </c>
      <c r="B82" s="32" t="s">
        <v>286</v>
      </c>
      <c r="C82" s="30" t="s">
        <v>244</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true" ht="30" customHeight="true" spans="1:15">
      <c r="A83" s="25" t="s">
        <v>287</v>
      </c>
      <c r="B83" s="26" t="s">
        <v>288</v>
      </c>
      <c r="C83" s="27" t="s">
        <v>244</v>
      </c>
      <c r="D83" s="33">
        <v>83.64</v>
      </c>
      <c r="E83" s="40">
        <f>SUM(E84:E86)</f>
        <v>427949.33</v>
      </c>
      <c r="F83" s="40"/>
      <c r="G83" s="40"/>
      <c r="H83" s="40">
        <f t="shared" si="18"/>
        <v>42.79</v>
      </c>
      <c r="I83" s="33">
        <f t="shared" si="19"/>
        <v>5116.56</v>
      </c>
      <c r="J83" s="53" t="e">
        <f t="shared" si="20"/>
        <v>#REF!</v>
      </c>
      <c r="K83" s="54"/>
      <c r="L83" s="55"/>
      <c r="M83" s="33"/>
      <c r="N83" s="40"/>
      <c r="O83" s="61"/>
    </row>
    <row r="84" s="2" customFormat="true" ht="30" customHeight="true" outlineLevel="1" spans="1:15">
      <c r="A84" s="25">
        <v>1</v>
      </c>
      <c r="B84" s="29" t="s">
        <v>248</v>
      </c>
      <c r="C84" s="30" t="s">
        <v>244</v>
      </c>
      <c r="D84" s="31">
        <f>D83</f>
        <v>83.64</v>
      </c>
      <c r="E84" s="40">
        <v>36680.73</v>
      </c>
      <c r="F84" s="40">
        <v>33223.39</v>
      </c>
      <c r="G84" s="40"/>
      <c r="H84" s="40">
        <f t="shared" si="18"/>
        <v>3.67</v>
      </c>
      <c r="I84" s="33">
        <f t="shared" si="19"/>
        <v>438.55</v>
      </c>
      <c r="J84" s="53" t="e">
        <f t="shared" si="20"/>
        <v>#REF!</v>
      </c>
      <c r="K84" s="54"/>
      <c r="L84" s="55"/>
      <c r="M84" s="33"/>
      <c r="N84" s="40"/>
      <c r="O84" s="61"/>
    </row>
    <row r="85" s="2" customFormat="true" ht="30" customHeight="true" outlineLevel="1" spans="1:15">
      <c r="A85" s="25">
        <v>2</v>
      </c>
      <c r="B85" s="29" t="s">
        <v>250</v>
      </c>
      <c r="C85" s="30" t="s">
        <v>244</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true" ht="30" customHeight="true" outlineLevel="1" spans="1:16">
      <c r="A86" s="25">
        <v>3</v>
      </c>
      <c r="B86" s="29" t="s">
        <v>252</v>
      </c>
      <c r="C86" s="30" t="s">
        <v>244</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true" ht="30" customHeight="true" outlineLevel="1" spans="1:15">
      <c r="A87" s="25">
        <f t="shared" ref="A87:A90" si="24">A86+0.1</f>
        <v>3.1</v>
      </c>
      <c r="B87" s="32" t="s">
        <v>253</v>
      </c>
      <c r="C87" s="30" t="s">
        <v>244</v>
      </c>
      <c r="D87" s="31">
        <f>D83</f>
        <v>83.64</v>
      </c>
      <c r="E87" s="40">
        <v>75114.23</v>
      </c>
      <c r="F87" s="40">
        <v>85678.25</v>
      </c>
      <c r="G87" s="40"/>
      <c r="H87" s="40">
        <f t="shared" si="18"/>
        <v>7.51</v>
      </c>
      <c r="I87" s="33">
        <f t="shared" si="19"/>
        <v>898.07</v>
      </c>
      <c r="J87" s="53" t="e">
        <f t="shared" si="20"/>
        <v>#REF!</v>
      </c>
      <c r="K87" s="54"/>
      <c r="L87" s="55"/>
      <c r="M87" s="61"/>
      <c r="N87" s="60"/>
      <c r="O87" s="61"/>
    </row>
    <row r="88" s="2" customFormat="true" ht="30" customHeight="true" outlineLevel="1" spans="1:15">
      <c r="A88" s="25">
        <f t="shared" si="24"/>
        <v>3.2</v>
      </c>
      <c r="B88" s="32" t="s">
        <v>254</v>
      </c>
      <c r="C88" s="30" t="s">
        <v>244</v>
      </c>
      <c r="D88" s="31">
        <f>D83</f>
        <v>83.64</v>
      </c>
      <c r="E88" s="40">
        <v>28846.58</v>
      </c>
      <c r="F88" s="40">
        <v>28846.58</v>
      </c>
      <c r="G88" s="40"/>
      <c r="H88" s="40">
        <f t="shared" si="18"/>
        <v>2.88</v>
      </c>
      <c r="I88" s="33">
        <f t="shared" si="19"/>
        <v>344.89</v>
      </c>
      <c r="J88" s="53" t="e">
        <f t="shared" si="20"/>
        <v>#REF!</v>
      </c>
      <c r="K88" s="54"/>
      <c r="L88" s="55"/>
      <c r="M88" s="61"/>
      <c r="N88" s="60"/>
      <c r="O88" s="61"/>
    </row>
    <row r="89" s="2" customFormat="true" ht="30" customHeight="true" outlineLevel="1" spans="1:15">
      <c r="A89" s="25">
        <f t="shared" si="24"/>
        <v>3.3</v>
      </c>
      <c r="B89" s="32" t="s">
        <v>255</v>
      </c>
      <c r="C89" s="30" t="s">
        <v>244</v>
      </c>
      <c r="D89" s="31">
        <f>D83</f>
        <v>83.64</v>
      </c>
      <c r="E89" s="40">
        <v>2311.08</v>
      </c>
      <c r="F89" s="40">
        <v>2311.08</v>
      </c>
      <c r="G89" s="40"/>
      <c r="H89" s="40">
        <f t="shared" si="18"/>
        <v>0.23</v>
      </c>
      <c r="I89" s="33">
        <f t="shared" si="19"/>
        <v>27.63</v>
      </c>
      <c r="J89" s="53" t="e">
        <f t="shared" si="20"/>
        <v>#REF!</v>
      </c>
      <c r="K89" s="54"/>
      <c r="L89" s="55"/>
      <c r="M89" s="61"/>
      <c r="N89" s="60"/>
      <c r="O89" s="61"/>
    </row>
    <row r="90" s="2" customFormat="true" ht="30" customHeight="true" outlineLevel="1" spans="1:15">
      <c r="A90" s="25">
        <f t="shared" si="24"/>
        <v>3.4</v>
      </c>
      <c r="B90" s="26" t="s">
        <v>256</v>
      </c>
      <c r="C90" s="30" t="s">
        <v>244</v>
      </c>
      <c r="D90" s="31">
        <f>D83</f>
        <v>83.64</v>
      </c>
      <c r="E90" s="40">
        <v>2573.14</v>
      </c>
      <c r="F90" s="40">
        <v>2573.14</v>
      </c>
      <c r="G90" s="40"/>
      <c r="H90" s="40">
        <f t="shared" si="18"/>
        <v>0.26</v>
      </c>
      <c r="I90" s="33">
        <f t="shared" si="19"/>
        <v>30.76</v>
      </c>
      <c r="J90" s="53" t="e">
        <f t="shared" si="20"/>
        <v>#REF!</v>
      </c>
      <c r="K90" s="54"/>
      <c r="L90" s="55"/>
      <c r="M90" s="61"/>
      <c r="N90" s="60"/>
      <c r="O90" s="61"/>
    </row>
    <row r="91" s="2" customFormat="true" ht="30" customHeight="true" spans="1:15">
      <c r="A91" s="25" t="s">
        <v>289</v>
      </c>
      <c r="B91" s="26" t="s">
        <v>290</v>
      </c>
      <c r="C91" s="27" t="s">
        <v>244</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true" ht="30" customHeight="true" outlineLevel="1" spans="1:15">
      <c r="A92" s="25">
        <v>1</v>
      </c>
      <c r="B92" s="29" t="s">
        <v>248</v>
      </c>
      <c r="C92" s="30" t="s">
        <v>244</v>
      </c>
      <c r="D92" s="31">
        <f>D91</f>
        <v>1002</v>
      </c>
      <c r="E92" s="40">
        <v>259272.95</v>
      </c>
      <c r="F92" s="40">
        <v>235071.41</v>
      </c>
      <c r="G92" s="40"/>
      <c r="H92" s="40">
        <f t="shared" si="18"/>
        <v>25.93</v>
      </c>
      <c r="I92" s="33">
        <f t="shared" si="19"/>
        <v>258.76</v>
      </c>
      <c r="J92" s="53" t="e">
        <f t="shared" si="20"/>
        <v>#REF!</v>
      </c>
      <c r="K92" s="54" t="s">
        <v>261</v>
      </c>
      <c r="L92" s="55"/>
      <c r="M92" s="33"/>
      <c r="N92" s="40"/>
      <c r="O92" s="61"/>
    </row>
    <row r="93" s="2" customFormat="true" ht="30" customHeight="true" outlineLevel="1" spans="1:15">
      <c r="A93" s="25">
        <v>2</v>
      </c>
      <c r="B93" s="29" t="s">
        <v>250</v>
      </c>
      <c r="C93" s="30" t="s">
        <v>244</v>
      </c>
      <c r="D93" s="31">
        <f>D91</f>
        <v>1002</v>
      </c>
      <c r="E93" s="40">
        <v>1618242.56</v>
      </c>
      <c r="F93" s="40">
        <v>1618242.56</v>
      </c>
      <c r="G93" s="40"/>
      <c r="H93" s="40">
        <f t="shared" si="18"/>
        <v>161.82</v>
      </c>
      <c r="I93" s="33">
        <f t="shared" si="19"/>
        <v>1615.01</v>
      </c>
      <c r="J93" s="53" t="e">
        <f t="shared" si="20"/>
        <v>#REF!</v>
      </c>
      <c r="K93" s="54" t="s">
        <v>291</v>
      </c>
      <c r="L93" s="55">
        <f>+L91</f>
        <v>1000</v>
      </c>
      <c r="M93" s="33">
        <v>330</v>
      </c>
      <c r="N93" s="40">
        <f t="shared" si="25"/>
        <v>3300</v>
      </c>
      <c r="O93" s="61"/>
    </row>
    <row r="94" s="2" customFormat="true" ht="30" customHeight="true" outlineLevel="1" spans="1:15">
      <c r="A94" s="25">
        <v>3</v>
      </c>
      <c r="B94" s="29" t="s">
        <v>292</v>
      </c>
      <c r="C94" s="30" t="s">
        <v>244</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true" ht="30" customHeight="true" spans="1:15">
      <c r="A95" s="25" t="s">
        <v>293</v>
      </c>
      <c r="B95" s="29" t="s">
        <v>294</v>
      </c>
      <c r="C95" s="30" t="s">
        <v>244</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true" ht="30" customHeight="true" outlineLevel="1" spans="1:15">
      <c r="A96" s="25">
        <v>1</v>
      </c>
      <c r="B96" s="32" t="s">
        <v>295</v>
      </c>
      <c r="C96" s="30" t="s">
        <v>244</v>
      </c>
      <c r="D96" s="31">
        <f>+D95-D97</f>
        <v>119475.89</v>
      </c>
      <c r="E96" s="40">
        <v>47628218.1</v>
      </c>
      <c r="F96" s="40">
        <v>46949453.59</v>
      </c>
      <c r="G96" s="40"/>
      <c r="H96" s="40">
        <f t="shared" si="18"/>
        <v>4762.82</v>
      </c>
      <c r="I96" s="56">
        <f t="shared" si="19"/>
        <v>398.64</v>
      </c>
      <c r="J96" s="53" t="e">
        <f t="shared" si="20"/>
        <v>#REF!</v>
      </c>
      <c r="K96" s="54" t="s">
        <v>296</v>
      </c>
      <c r="L96" s="55">
        <v>72190.16</v>
      </c>
      <c r="M96" s="61">
        <v>5920.26</v>
      </c>
      <c r="N96" s="40">
        <f t="shared" si="25"/>
        <v>820.09</v>
      </c>
      <c r="O96" s="61" t="s">
        <v>297</v>
      </c>
    </row>
    <row r="97" s="2" customFormat="true" ht="30" customHeight="true" outlineLevel="1" spans="1:15">
      <c r="A97" s="25">
        <v>2</v>
      </c>
      <c r="B97" s="32" t="s">
        <v>298</v>
      </c>
      <c r="C97" s="30" t="s">
        <v>244</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299</v>
      </c>
    </row>
    <row r="98" s="2" customFormat="true" ht="30" customHeight="true" outlineLevel="1" spans="1:15">
      <c r="A98" s="25">
        <v>3</v>
      </c>
      <c r="B98" s="32" t="s">
        <v>300</v>
      </c>
      <c r="C98" s="30" t="s">
        <v>244</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true" ht="30" customHeight="true" outlineLevel="1" spans="1:15">
      <c r="A99" s="25">
        <v>7</v>
      </c>
      <c r="B99" s="32" t="s">
        <v>301</v>
      </c>
      <c r="C99" s="30" t="s">
        <v>244</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true" ht="30" customHeight="true" outlineLevel="1" spans="1:15">
      <c r="A100" s="25">
        <v>5</v>
      </c>
      <c r="B100" s="32" t="s">
        <v>302</v>
      </c>
      <c r="C100" s="30" t="s">
        <v>244</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true" ht="30" customHeight="true" outlineLevel="1" spans="1:15">
      <c r="A101" s="25">
        <v>4</v>
      </c>
      <c r="B101" s="32" t="s">
        <v>303</v>
      </c>
      <c r="C101" s="30" t="s">
        <v>244</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304</v>
      </c>
    </row>
    <row r="102" s="2" customFormat="true" ht="30" customHeight="true" outlineLevel="1" spans="1:15">
      <c r="A102" s="25">
        <v>6</v>
      </c>
      <c r="B102" s="32" t="s">
        <v>305</v>
      </c>
      <c r="C102" s="30" t="s">
        <v>244</v>
      </c>
      <c r="D102" s="31">
        <f>+D96</f>
        <v>119475.89</v>
      </c>
      <c r="E102" s="40">
        <v>585440.08</v>
      </c>
      <c r="F102" s="40">
        <v>950783.16</v>
      </c>
      <c r="G102" s="40"/>
      <c r="H102" s="40">
        <f t="shared" si="18"/>
        <v>58.54</v>
      </c>
      <c r="I102" s="56">
        <f t="shared" si="19"/>
        <v>4.9</v>
      </c>
      <c r="J102" s="53" t="e">
        <f t="shared" si="20"/>
        <v>#REF!</v>
      </c>
      <c r="K102" s="54" t="s">
        <v>306</v>
      </c>
      <c r="L102" s="55">
        <f>+L98</f>
        <v>155750.6</v>
      </c>
      <c r="M102" s="61">
        <v>467.25</v>
      </c>
      <c r="N102" s="40">
        <f t="shared" si="26"/>
        <v>30</v>
      </c>
      <c r="O102" s="61"/>
    </row>
    <row r="103" s="2" customFormat="true" ht="30" customHeight="true" outlineLevel="1" spans="1:15">
      <c r="A103" s="25">
        <v>9</v>
      </c>
      <c r="B103" s="32" t="s">
        <v>307</v>
      </c>
      <c r="C103" s="30" t="s">
        <v>244</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true" ht="30" customHeight="true" outlineLevel="1" spans="1:15">
      <c r="A104" s="25">
        <v>8</v>
      </c>
      <c r="B104" s="32" t="s">
        <v>308</v>
      </c>
      <c r="C104" s="30" t="s">
        <v>244</v>
      </c>
      <c r="D104" s="31">
        <f>D95-D97</f>
        <v>119475.89</v>
      </c>
      <c r="E104" s="40">
        <f>+I104*D104</f>
        <v>5973794.5</v>
      </c>
      <c r="F104" s="67"/>
      <c r="G104" s="40"/>
      <c r="H104" s="40">
        <f t="shared" si="18"/>
        <v>597.38</v>
      </c>
      <c r="I104" s="56">
        <v>50</v>
      </c>
      <c r="J104" s="53" t="e">
        <f t="shared" si="20"/>
        <v>#REF!</v>
      </c>
      <c r="K104" s="54" t="s">
        <v>309</v>
      </c>
      <c r="L104" s="55"/>
      <c r="M104" s="61"/>
      <c r="N104" s="60"/>
      <c r="O104" s="61"/>
    </row>
    <row r="105" s="2" customFormat="true" ht="30" customHeight="true" outlineLevel="1" spans="1:15">
      <c r="A105" s="25">
        <v>10</v>
      </c>
      <c r="B105" s="32" t="s">
        <v>310</v>
      </c>
      <c r="C105" s="30" t="s">
        <v>311</v>
      </c>
      <c r="D105" s="31">
        <v>1</v>
      </c>
      <c r="E105" s="40">
        <v>1000000</v>
      </c>
      <c r="F105" s="67"/>
      <c r="G105" s="40"/>
      <c r="H105" s="40">
        <f t="shared" si="18"/>
        <v>100</v>
      </c>
      <c r="I105" s="56"/>
      <c r="J105" s="53"/>
      <c r="K105" s="54"/>
      <c r="L105" s="55"/>
      <c r="M105" s="61"/>
      <c r="N105" s="60"/>
      <c r="O105" s="61"/>
    </row>
    <row r="106" s="2" customFormat="true" ht="30" customHeight="true" outlineLevel="1" spans="1:15">
      <c r="A106" s="25">
        <v>11</v>
      </c>
      <c r="B106" s="32" t="s">
        <v>312</v>
      </c>
      <c r="C106" s="30" t="s">
        <v>311</v>
      </c>
      <c r="D106" s="31">
        <v>1</v>
      </c>
      <c r="E106" s="40">
        <v>500000</v>
      </c>
      <c r="F106" s="67"/>
      <c r="G106" s="40"/>
      <c r="H106" s="40">
        <f t="shared" si="18"/>
        <v>50</v>
      </c>
      <c r="I106" s="56"/>
      <c r="J106" s="53"/>
      <c r="K106" s="54"/>
      <c r="L106" s="55"/>
      <c r="M106" s="61"/>
      <c r="N106" s="60"/>
      <c r="O106" s="61"/>
    </row>
    <row r="107" s="2" customFormat="true" ht="30" customHeight="true" spans="1:15">
      <c r="A107" s="25" t="s">
        <v>313</v>
      </c>
      <c r="B107" s="32" t="s">
        <v>314</v>
      </c>
      <c r="C107" s="30" t="s">
        <v>244</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true" ht="30" customHeight="true" outlineLevel="1" spans="1:15">
      <c r="A108" s="25">
        <v>1</v>
      </c>
      <c r="B108" s="32" t="s">
        <v>315</v>
      </c>
      <c r="C108" s="30" t="s">
        <v>244</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316</v>
      </c>
    </row>
    <row r="109" s="2" customFormat="true" ht="30" customHeight="true" outlineLevel="1" spans="1:15">
      <c r="A109" s="25">
        <v>2</v>
      </c>
      <c r="B109" s="32" t="s">
        <v>317</v>
      </c>
      <c r="C109" s="30" t="s">
        <v>244</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true" ht="30" customHeight="true" outlineLevel="1" spans="1:15">
      <c r="A110" s="25">
        <v>3</v>
      </c>
      <c r="B110" s="32" t="s">
        <v>318</v>
      </c>
      <c r="C110" s="30" t="s">
        <v>244</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319</v>
      </c>
    </row>
    <row r="111" s="2" customFormat="true" ht="30" customHeight="true" outlineLevel="1" spans="1:15">
      <c r="A111" s="25">
        <v>4</v>
      </c>
      <c r="B111" s="32" t="s">
        <v>320</v>
      </c>
      <c r="C111" s="30" t="s">
        <v>244</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true" ht="30" customHeight="true" outlineLevel="1" spans="1:15">
      <c r="A112" s="25">
        <v>5</v>
      </c>
      <c r="B112" s="32" t="s">
        <v>321</v>
      </c>
      <c r="C112" s="30" t="s">
        <v>244</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true" ht="30" customHeight="true" outlineLevel="1" spans="1:15">
      <c r="A113" s="25">
        <v>6</v>
      </c>
      <c r="B113" s="32" t="s">
        <v>322</v>
      </c>
      <c r="C113" s="30" t="s">
        <v>244</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true" ht="30" customHeight="true" outlineLevel="1" spans="1:15">
      <c r="A114" s="25">
        <v>6</v>
      </c>
      <c r="B114" s="32" t="s">
        <v>323</v>
      </c>
      <c r="C114" s="30" t="s">
        <v>244</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true" ht="30" customHeight="true" spans="1:15">
      <c r="A115" s="25" t="s">
        <v>324</v>
      </c>
      <c r="B115" s="32" t="s">
        <v>325</v>
      </c>
      <c r="C115" s="30" t="s">
        <v>244</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true" ht="30" customHeight="true" outlineLevel="1" spans="1:15">
      <c r="A116" s="25">
        <v>1</v>
      </c>
      <c r="B116" s="32" t="s">
        <v>326</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327</v>
      </c>
    </row>
    <row r="117" s="2" customFormat="true" ht="30" customHeight="true" outlineLevel="1" spans="1:15">
      <c r="A117" s="25">
        <f t="shared" ref="A117:A124" si="30">+A116+1</f>
        <v>2</v>
      </c>
      <c r="B117" s="32" t="s">
        <v>328</v>
      </c>
      <c r="C117" s="30"/>
      <c r="D117" s="31"/>
      <c r="E117" s="40">
        <v>226675.03</v>
      </c>
      <c r="F117" s="40">
        <v>226675.03</v>
      </c>
      <c r="G117" s="40"/>
      <c r="H117" s="40">
        <f t="shared" si="18"/>
        <v>22.67</v>
      </c>
      <c r="I117" s="33"/>
      <c r="J117" s="53" t="e">
        <f t="shared" si="28"/>
        <v>#REF!</v>
      </c>
      <c r="K117" s="54"/>
      <c r="L117" s="55"/>
      <c r="M117" s="61">
        <v>10</v>
      </c>
      <c r="N117" s="60"/>
      <c r="O117" s="61"/>
    </row>
    <row r="118" s="2" customFormat="true" ht="30" customHeight="true" outlineLevel="1" spans="1:15">
      <c r="A118" s="25">
        <f t="shared" si="30"/>
        <v>3</v>
      </c>
      <c r="B118" s="32" t="s">
        <v>329</v>
      </c>
      <c r="C118" s="30"/>
      <c r="D118" s="31"/>
      <c r="E118" s="40">
        <v>986258.01</v>
      </c>
      <c r="F118" s="40">
        <v>986258.01</v>
      </c>
      <c r="G118" s="40"/>
      <c r="H118" s="40">
        <f t="shared" si="18"/>
        <v>98.63</v>
      </c>
      <c r="I118" s="33"/>
      <c r="J118" s="53" t="e">
        <f t="shared" si="28"/>
        <v>#REF!</v>
      </c>
      <c r="K118" s="54"/>
      <c r="L118" s="55"/>
      <c r="M118" s="61"/>
      <c r="N118" s="60"/>
      <c r="O118" s="61"/>
    </row>
    <row r="119" s="2" customFormat="true" ht="30" customHeight="true" outlineLevel="1" spans="1:15">
      <c r="A119" s="25">
        <f t="shared" si="30"/>
        <v>4</v>
      </c>
      <c r="B119" s="32" t="s">
        <v>330</v>
      </c>
      <c r="C119" s="30"/>
      <c r="D119" s="31"/>
      <c r="E119" s="40">
        <v>3159568.29</v>
      </c>
      <c r="F119" s="40">
        <v>3052389.85</v>
      </c>
      <c r="G119" s="40"/>
      <c r="H119" s="40">
        <f t="shared" si="18"/>
        <v>315.96</v>
      </c>
      <c r="I119" s="33"/>
      <c r="J119" s="53" t="e">
        <f t="shared" si="28"/>
        <v>#REF!</v>
      </c>
      <c r="K119" s="54"/>
      <c r="L119" s="55"/>
      <c r="M119" s="61">
        <v>338</v>
      </c>
      <c r="N119" s="60"/>
      <c r="O119" s="61"/>
    </row>
    <row r="120" s="2" customFormat="true" ht="30" customHeight="true" outlineLevel="1" spans="1:15">
      <c r="A120" s="25">
        <f t="shared" si="30"/>
        <v>5</v>
      </c>
      <c r="B120" s="32" t="s">
        <v>331</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true" ht="30" customHeight="true" outlineLevel="1" spans="1:15">
      <c r="A121" s="25">
        <f t="shared" si="30"/>
        <v>6</v>
      </c>
      <c r="B121" s="32" t="s">
        <v>332</v>
      </c>
      <c r="C121" s="30"/>
      <c r="D121" s="31"/>
      <c r="E121" s="40">
        <v>21800</v>
      </c>
      <c r="F121" s="40">
        <v>22454</v>
      </c>
      <c r="G121" s="40"/>
      <c r="H121" s="40">
        <f t="shared" si="18"/>
        <v>2.18</v>
      </c>
      <c r="I121" s="33"/>
      <c r="J121" s="53" t="e">
        <f t="shared" si="28"/>
        <v>#REF!</v>
      </c>
      <c r="K121" s="54"/>
      <c r="L121" s="55"/>
      <c r="M121" s="61">
        <v>7</v>
      </c>
      <c r="N121" s="60"/>
      <c r="O121" s="61"/>
    </row>
    <row r="122" s="2" customFormat="true" ht="30" customHeight="true" outlineLevel="1" spans="1:15">
      <c r="A122" s="25">
        <f t="shared" si="30"/>
        <v>7</v>
      </c>
      <c r="B122" s="32" t="s">
        <v>333</v>
      </c>
      <c r="C122" s="30"/>
      <c r="D122" s="31"/>
      <c r="E122" s="40">
        <v>1553130.82</v>
      </c>
      <c r="F122" s="40">
        <v>1526019.5</v>
      </c>
      <c r="G122" s="40"/>
      <c r="H122" s="40">
        <f t="shared" si="18"/>
        <v>155.31</v>
      </c>
      <c r="I122" s="33"/>
      <c r="J122" s="53" t="e">
        <f t="shared" si="28"/>
        <v>#REF!</v>
      </c>
      <c r="K122" s="54"/>
      <c r="L122" s="55"/>
      <c r="M122" s="61">
        <v>0</v>
      </c>
      <c r="N122" s="60"/>
      <c r="O122" s="61"/>
    </row>
    <row r="123" s="2" customFormat="true" ht="30" customHeight="true" outlineLevel="1" spans="1:15">
      <c r="A123" s="25">
        <f t="shared" si="30"/>
        <v>8</v>
      </c>
      <c r="B123" s="32" t="s">
        <v>334</v>
      </c>
      <c r="C123" s="30"/>
      <c r="D123" s="31"/>
      <c r="E123" s="40">
        <v>265737.67</v>
      </c>
      <c r="F123" s="40">
        <v>265737.67</v>
      </c>
      <c r="G123" s="40"/>
      <c r="H123" s="40">
        <f t="shared" si="18"/>
        <v>26.57</v>
      </c>
      <c r="I123" s="33"/>
      <c r="J123" s="53" t="e">
        <f t="shared" si="28"/>
        <v>#REF!</v>
      </c>
      <c r="K123" s="54"/>
      <c r="L123" s="55"/>
      <c r="M123" s="61">
        <v>0</v>
      </c>
      <c r="N123" s="60"/>
      <c r="O123" s="61"/>
    </row>
    <row r="124" s="2" customFormat="true" ht="30" customHeight="true" outlineLevel="1" spans="1:15">
      <c r="A124" s="25">
        <f t="shared" si="30"/>
        <v>9</v>
      </c>
      <c r="B124" s="32" t="s">
        <v>335</v>
      </c>
      <c r="C124" s="30"/>
      <c r="D124" s="31"/>
      <c r="E124" s="40">
        <v>1018761.37</v>
      </c>
      <c r="F124" s="40">
        <v>1018761.37</v>
      </c>
      <c r="G124" s="40"/>
      <c r="H124" s="40">
        <f t="shared" si="18"/>
        <v>101.88</v>
      </c>
      <c r="I124" s="33"/>
      <c r="J124" s="53" t="e">
        <f t="shared" si="28"/>
        <v>#REF!</v>
      </c>
      <c r="K124" s="54"/>
      <c r="L124" s="55"/>
      <c r="M124" s="61"/>
      <c r="N124" s="60"/>
      <c r="O124" s="61"/>
    </row>
    <row r="125" s="2" customFormat="true" ht="30" customHeight="true" outlineLevel="1" spans="1:15">
      <c r="A125" s="25">
        <v>10</v>
      </c>
      <c r="B125" s="32" t="s">
        <v>336</v>
      </c>
      <c r="C125" s="30"/>
      <c r="D125" s="31">
        <v>12046.9</v>
      </c>
      <c r="E125" s="40">
        <f>+D125*I125</f>
        <v>180703.5</v>
      </c>
      <c r="F125" s="67"/>
      <c r="G125" s="40"/>
      <c r="H125" s="40">
        <f t="shared" si="18"/>
        <v>18.07</v>
      </c>
      <c r="I125" s="33">
        <v>15</v>
      </c>
      <c r="J125" s="53" t="e">
        <f t="shared" si="28"/>
        <v>#REF!</v>
      </c>
      <c r="K125" s="54"/>
      <c r="L125" s="55"/>
      <c r="M125" s="61"/>
      <c r="N125" s="60"/>
      <c r="O125" s="61"/>
    </row>
    <row r="126" s="2" customFormat="true" ht="30" customHeight="true" spans="1:15">
      <c r="A126" s="25" t="s">
        <v>337</v>
      </c>
      <c r="B126" s="32" t="s">
        <v>338</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true" ht="30" customHeight="true" spans="1:15">
      <c r="A127" s="62" t="s">
        <v>24</v>
      </c>
      <c r="B127" s="63" t="s">
        <v>339</v>
      </c>
      <c r="C127" s="64" t="s">
        <v>244</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true"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true"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true"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true" ht="30" customHeight="true"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true"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true"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true"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true" ht="30" customHeight="true"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true"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true"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true" ht="30" customHeight="true"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true"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true" ht="30" customHeight="true"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true"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true"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true" ht="30" customHeight="true"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true" ht="30" customHeight="true"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true" ht="30" customHeight="true"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true" ht="30" customHeight="true"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true" ht="30" customHeight="true"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true"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true"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true" ht="30" customHeight="true"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true"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true" ht="30" customHeight="true"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true" ht="30" customHeight="true"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true" ht="30" customHeight="true"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true" ht="30" customHeight="true"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true" ht="30" customHeight="true"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true" ht="19" customHeight="true"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true" ht="30" customHeight="true" spans="1:15">
      <c r="A158" s="62" t="s">
        <v>66</v>
      </c>
      <c r="B158" s="63" t="s">
        <v>67</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true" ht="30" customHeight="true" spans="1:15">
      <c r="A159" s="25">
        <v>1</v>
      </c>
      <c r="B159" s="74" t="s">
        <v>340</v>
      </c>
      <c r="C159" s="30" t="s">
        <v>244</v>
      </c>
      <c r="D159" s="75">
        <v>0.05</v>
      </c>
      <c r="E159" s="40" t="e">
        <f>(E5+E127)*D159</f>
        <v>#REF!</v>
      </c>
      <c r="F159" s="40"/>
      <c r="G159" s="40"/>
      <c r="H159" s="40" t="e">
        <f t="shared" si="32"/>
        <v>#REF!</v>
      </c>
      <c r="I159" s="56"/>
      <c r="J159" s="53" t="e">
        <f t="shared" si="28"/>
        <v>#REF!</v>
      </c>
      <c r="K159" s="54" t="s">
        <v>341</v>
      </c>
      <c r="L159" s="55"/>
      <c r="M159" s="72"/>
      <c r="N159" s="73"/>
      <c r="O159" s="72"/>
    </row>
    <row r="160" s="2" customFormat="true" ht="30" customHeight="true" spans="1:15">
      <c r="A160" s="62" t="s">
        <v>69</v>
      </c>
      <c r="B160" s="63" t="s">
        <v>70</v>
      </c>
      <c r="C160" s="64"/>
      <c r="D160" s="65"/>
      <c r="E160" s="39">
        <f>SUM(E161:E166)</f>
        <v>8111956</v>
      </c>
      <c r="F160" s="39"/>
      <c r="G160" s="39"/>
      <c r="H160" s="39">
        <f t="shared" si="32"/>
        <v>811.2</v>
      </c>
      <c r="I160" s="86"/>
      <c r="J160" s="50"/>
      <c r="K160" s="87"/>
      <c r="L160" s="88"/>
      <c r="M160" s="96"/>
      <c r="N160" s="60"/>
      <c r="O160" s="61"/>
    </row>
    <row r="161" s="2" customFormat="true" ht="30" customHeight="true" outlineLevel="1" spans="1:15">
      <c r="A161" s="25">
        <v>1</v>
      </c>
      <c r="B161" s="32" t="s">
        <v>342</v>
      </c>
      <c r="C161" s="30"/>
      <c r="D161" s="31"/>
      <c r="E161" s="40">
        <v>6862260</v>
      </c>
      <c r="F161" s="40"/>
      <c r="G161" s="40"/>
      <c r="H161" s="40">
        <f t="shared" ref="H161:H166" si="33">+E161/10000</f>
        <v>686.23</v>
      </c>
      <c r="I161" s="56"/>
      <c r="J161" s="53"/>
      <c r="K161" s="54"/>
      <c r="L161" s="55"/>
      <c r="M161" s="33">
        <v>686.23</v>
      </c>
      <c r="N161" s="60"/>
      <c r="O161" s="61"/>
    </row>
    <row r="162" s="2" customFormat="true" ht="30" customHeight="true" outlineLevel="1" spans="1:15">
      <c r="A162" s="25">
        <v>2</v>
      </c>
      <c r="B162" s="32" t="s">
        <v>73</v>
      </c>
      <c r="C162" s="30"/>
      <c r="D162" s="31"/>
      <c r="E162" s="40">
        <v>1249696</v>
      </c>
      <c r="F162" s="40"/>
      <c r="G162" s="40"/>
      <c r="H162" s="40">
        <f t="shared" si="33"/>
        <v>124.97</v>
      </c>
      <c r="I162" s="56"/>
      <c r="J162" s="53"/>
      <c r="K162" s="54"/>
      <c r="L162" s="55"/>
      <c r="M162" s="33">
        <v>124.97</v>
      </c>
      <c r="N162" s="60"/>
      <c r="O162" s="61"/>
    </row>
    <row r="163" s="2" customFormat="true" ht="30" customHeight="true" outlineLevel="1" spans="1:15">
      <c r="A163" s="25">
        <v>3</v>
      </c>
      <c r="B163" s="32" t="s">
        <v>343</v>
      </c>
      <c r="C163" s="30"/>
      <c r="D163" s="31"/>
      <c r="E163" s="40">
        <f t="shared" ref="E163:E166" si="34">+I163*D163</f>
        <v>0</v>
      </c>
      <c r="F163" s="40"/>
      <c r="G163" s="40"/>
      <c r="H163" s="40">
        <f t="shared" si="33"/>
        <v>0</v>
      </c>
      <c r="I163" s="56">
        <f>2619.47*1.13</f>
        <v>2960</v>
      </c>
      <c r="J163" s="53"/>
      <c r="K163" s="54"/>
      <c r="L163" s="31">
        <v>3</v>
      </c>
      <c r="M163" s="33"/>
      <c r="N163" s="60"/>
      <c r="O163" s="61"/>
    </row>
    <row r="164" s="2" customFormat="true" ht="30" customHeight="true" outlineLevel="1" spans="1:15">
      <c r="A164" s="25">
        <v>4</v>
      </c>
      <c r="B164" s="32" t="s">
        <v>344</v>
      </c>
      <c r="C164" s="30"/>
      <c r="D164" s="31"/>
      <c r="E164" s="40">
        <f t="shared" si="34"/>
        <v>0</v>
      </c>
      <c r="F164" s="40"/>
      <c r="G164" s="40"/>
      <c r="H164" s="40">
        <f t="shared" si="33"/>
        <v>0</v>
      </c>
      <c r="I164" s="56">
        <f>2975.22*1.13</f>
        <v>3362</v>
      </c>
      <c r="J164" s="53"/>
      <c r="K164" s="54"/>
      <c r="L164" s="31">
        <v>2</v>
      </c>
      <c r="M164" s="33"/>
      <c r="N164" s="60"/>
      <c r="O164" s="61"/>
    </row>
    <row r="165" s="2" customFormat="true" ht="30" customHeight="true" outlineLevel="1" spans="1:15">
      <c r="A165" s="25">
        <v>5</v>
      </c>
      <c r="B165" s="32" t="s">
        <v>345</v>
      </c>
      <c r="C165" s="30"/>
      <c r="D165" s="31"/>
      <c r="E165" s="40">
        <f t="shared" si="34"/>
        <v>0</v>
      </c>
      <c r="F165" s="40"/>
      <c r="G165" s="40"/>
      <c r="H165" s="40">
        <f t="shared" si="33"/>
        <v>0</v>
      </c>
      <c r="I165" s="56">
        <f>3893.81*1.13</f>
        <v>4400.01</v>
      </c>
      <c r="J165" s="53"/>
      <c r="K165" s="54"/>
      <c r="L165" s="31">
        <v>2</v>
      </c>
      <c r="M165" s="33"/>
      <c r="N165" s="60"/>
      <c r="O165" s="61"/>
    </row>
    <row r="166" s="2" customFormat="true" ht="30" customHeight="true" outlineLevel="1" spans="1:15">
      <c r="A166" s="25">
        <v>6</v>
      </c>
      <c r="B166" s="32" t="s">
        <v>346</v>
      </c>
      <c r="C166" s="30"/>
      <c r="D166" s="31"/>
      <c r="E166" s="40">
        <f t="shared" si="34"/>
        <v>0</v>
      </c>
      <c r="F166" s="40"/>
      <c r="G166" s="40"/>
      <c r="H166" s="40">
        <f t="shared" si="33"/>
        <v>0</v>
      </c>
      <c r="I166" s="56">
        <f>4867.26*1.13</f>
        <v>5500</v>
      </c>
      <c r="J166" s="53"/>
      <c r="K166" s="54"/>
      <c r="L166" s="31">
        <f>3+60</f>
        <v>63</v>
      </c>
      <c r="M166" s="33"/>
      <c r="N166" s="60"/>
      <c r="O166" s="61"/>
    </row>
    <row r="167" s="2" customFormat="true" ht="30" customHeight="true" spans="1:15">
      <c r="A167" s="62" t="s">
        <v>76</v>
      </c>
      <c r="B167" s="63" t="s">
        <v>347</v>
      </c>
      <c r="C167" s="64"/>
      <c r="D167" s="65"/>
      <c r="E167" s="39">
        <f>+SUM(E168:E169)</f>
        <v>86127996.55</v>
      </c>
      <c r="F167" s="39"/>
      <c r="G167" s="39"/>
      <c r="H167" s="39">
        <f t="shared" ref="H167:H170" si="35">E167/10000</f>
        <v>8612.8</v>
      </c>
      <c r="I167" s="86"/>
      <c r="J167" s="50"/>
      <c r="K167" s="87"/>
      <c r="L167" s="88"/>
      <c r="M167" s="96"/>
      <c r="N167" s="60"/>
      <c r="O167" s="61"/>
    </row>
    <row r="168" s="2" customFormat="true" ht="30" customHeight="true" outlineLevel="1" spans="1:15">
      <c r="A168" s="25">
        <v>1</v>
      </c>
      <c r="B168" s="32" t="s">
        <v>348</v>
      </c>
      <c r="C168" s="30"/>
      <c r="D168" s="31"/>
      <c r="E168" s="40">
        <v>34142596.55</v>
      </c>
      <c r="F168" s="40"/>
      <c r="G168" s="40"/>
      <c r="H168" s="40">
        <f t="shared" si="35"/>
        <v>3414.26</v>
      </c>
      <c r="I168" s="56"/>
      <c r="J168" s="53"/>
      <c r="K168" s="54"/>
      <c r="L168" s="55"/>
      <c r="M168" s="33"/>
      <c r="N168" s="60"/>
      <c r="O168" s="61"/>
    </row>
    <row r="169" s="2" customFormat="true" ht="30" customHeight="true" outlineLevel="1" spans="1:15">
      <c r="A169" s="25">
        <v>2</v>
      </c>
      <c r="B169" s="32" t="s">
        <v>349</v>
      </c>
      <c r="C169" s="30"/>
      <c r="D169" s="31"/>
      <c r="E169" s="40">
        <f>5198.54*10000</f>
        <v>51985400</v>
      </c>
      <c r="F169" s="40"/>
      <c r="G169" s="40"/>
      <c r="H169" s="40">
        <f t="shared" si="35"/>
        <v>5198.54</v>
      </c>
      <c r="I169" s="56"/>
      <c r="J169" s="53"/>
      <c r="K169" s="54"/>
      <c r="L169" s="55"/>
      <c r="M169" s="33"/>
      <c r="N169" s="60"/>
      <c r="O169" s="61"/>
    </row>
    <row r="170" s="2" customFormat="true" ht="30" customHeight="true" spans="1:15">
      <c r="A170" s="62" t="s">
        <v>350</v>
      </c>
      <c r="B170" s="63" t="s">
        <v>351</v>
      </c>
      <c r="C170" s="64"/>
      <c r="D170" s="65"/>
      <c r="E170" s="39">
        <f>SUM(E171:E173)</f>
        <v>7542704</v>
      </c>
      <c r="F170" s="39"/>
      <c r="G170" s="39"/>
      <c r="H170" s="39">
        <f t="shared" si="35"/>
        <v>754.27</v>
      </c>
      <c r="I170" s="86"/>
      <c r="J170" s="50"/>
      <c r="K170" s="87"/>
      <c r="L170" s="88"/>
      <c r="M170" s="96"/>
      <c r="N170" s="60"/>
      <c r="O170" s="61"/>
    </row>
    <row r="171" s="2" customFormat="true" ht="30" customHeight="true" outlineLevel="1" spans="1:15">
      <c r="A171" s="25">
        <v>1</v>
      </c>
      <c r="B171" s="32" t="s">
        <v>352</v>
      </c>
      <c r="C171" s="30"/>
      <c r="D171" s="31"/>
      <c r="E171" s="40">
        <v>2745000</v>
      </c>
      <c r="F171" s="40"/>
      <c r="G171" s="40"/>
      <c r="H171" s="40">
        <v>274.5</v>
      </c>
      <c r="I171" s="56"/>
      <c r="J171" s="53">
        <v>0.0078</v>
      </c>
      <c r="K171" s="54"/>
      <c r="L171" s="55"/>
      <c r="M171" s="33"/>
      <c r="N171" s="60"/>
      <c r="O171" s="61"/>
    </row>
    <row r="172" s="2" customFormat="true" ht="30" customHeight="true" outlineLevel="1" spans="1:15">
      <c r="A172" s="25">
        <v>2</v>
      </c>
      <c r="B172" s="32" t="s">
        <v>353</v>
      </c>
      <c r="C172" s="30"/>
      <c r="D172" s="31"/>
      <c r="E172" s="40">
        <v>4516920</v>
      </c>
      <c r="F172" s="40"/>
      <c r="G172" s="40"/>
      <c r="H172" s="40">
        <v>451.69</v>
      </c>
      <c r="I172" s="56"/>
      <c r="J172" s="53">
        <v>0.0128</v>
      </c>
      <c r="K172" s="54" t="s">
        <v>354</v>
      </c>
      <c r="L172" s="55"/>
      <c r="M172" s="33"/>
      <c r="N172" s="60"/>
      <c r="O172" s="61"/>
    </row>
    <row r="173" s="2" customFormat="true" ht="30" customHeight="true" outlineLevel="1" spans="1:15">
      <c r="A173" s="25">
        <v>3</v>
      </c>
      <c r="B173" s="32" t="s">
        <v>355</v>
      </c>
      <c r="C173" s="30"/>
      <c r="D173" s="31"/>
      <c r="E173" s="40">
        <v>280784</v>
      </c>
      <c r="F173" s="40"/>
      <c r="G173" s="40"/>
      <c r="H173" s="40">
        <v>28.08</v>
      </c>
      <c r="I173" s="56"/>
      <c r="J173" s="53">
        <v>0.0008</v>
      </c>
      <c r="K173" s="54" t="s">
        <v>356</v>
      </c>
      <c r="L173" s="55"/>
      <c r="M173" s="33"/>
      <c r="N173" s="60"/>
      <c r="O173" s="61"/>
    </row>
    <row r="174" s="2" customFormat="true" ht="30" customHeight="true" spans="1:15">
      <c r="A174" s="62" t="s">
        <v>357</v>
      </c>
      <c r="B174" s="63" t="s">
        <v>358</v>
      </c>
      <c r="C174" s="64" t="s">
        <v>244</v>
      </c>
      <c r="D174" s="65">
        <v>204431.95</v>
      </c>
      <c r="E174" s="39" t="e">
        <f>E5+E127+E158+E160+E167+E170</f>
        <v>#REF!</v>
      </c>
      <c r="F174" s="39"/>
      <c r="G174" s="39"/>
      <c r="H174" s="39" t="e">
        <f>E174/10000</f>
        <v>#REF!</v>
      </c>
      <c r="I174" s="86" t="e">
        <f>E174/D174</f>
        <v>#REF!</v>
      </c>
      <c r="J174" s="50" t="e">
        <f>E174/$E$174</f>
        <v>#REF!</v>
      </c>
      <c r="K174" s="87" t="s">
        <v>359</v>
      </c>
      <c r="L174" s="88"/>
      <c r="M174" s="61"/>
      <c r="N174" s="60"/>
      <c r="O174" s="61"/>
    </row>
    <row r="175" s="2" customFormat="true" ht="38.25" spans="1:15">
      <c r="A175" s="76" t="s">
        <v>360</v>
      </c>
      <c r="B175" s="77" t="s">
        <v>361</v>
      </c>
      <c r="C175" s="78"/>
      <c r="D175" s="79">
        <f>+D174</f>
        <v>204431.95</v>
      </c>
      <c r="E175" s="84" t="e">
        <f>+E174-E167-E160-E170</f>
        <v>#REF!</v>
      </c>
      <c r="F175" s="84"/>
      <c r="G175" s="84"/>
      <c r="H175" s="39" t="e">
        <f>E175/10000</f>
        <v>#REF!</v>
      </c>
      <c r="I175" s="86" t="e">
        <f>E175/D175</f>
        <v>#REF!</v>
      </c>
      <c r="J175" s="89"/>
      <c r="K175" s="90" t="s">
        <v>362</v>
      </c>
      <c r="L175" s="88"/>
      <c r="M175" s="61"/>
      <c r="N175" s="60"/>
      <c r="O175" s="61"/>
    </row>
    <row r="176" s="4" customFormat="true" ht="18" customHeight="true" spans="1:14">
      <c r="A176" s="80"/>
      <c r="B176" s="81"/>
      <c r="C176" s="82"/>
      <c r="D176" s="83"/>
      <c r="E176" s="85"/>
      <c r="F176" s="85"/>
      <c r="G176" s="85"/>
      <c r="H176" s="85"/>
      <c r="I176" s="91"/>
      <c r="J176" s="92"/>
      <c r="K176" s="93"/>
      <c r="L176" s="94"/>
      <c r="N176" s="97"/>
    </row>
    <row r="177" s="2" customFormat="true" spans="1:14">
      <c r="A177" s="1"/>
      <c r="B177" s="7"/>
      <c r="C177" s="8"/>
      <c r="D177" s="8"/>
      <c r="E177" s="9"/>
      <c r="F177" s="9"/>
      <c r="G177" s="9"/>
      <c r="H177" s="9"/>
      <c r="I177" s="10"/>
      <c r="J177" s="11"/>
      <c r="K177" s="12"/>
      <c r="L177" s="12"/>
      <c r="N177" s="98"/>
    </row>
    <row r="179" s="1" customFormat="true" ht="57.95" customHeight="true" spans="2:14">
      <c r="B179" s="7"/>
      <c r="C179" s="8"/>
      <c r="D179" s="8"/>
      <c r="E179" s="9" t="s">
        <v>363</v>
      </c>
      <c r="F179" s="9"/>
      <c r="G179" s="9"/>
      <c r="H179" s="9">
        <v>40044.55</v>
      </c>
      <c r="I179" s="10"/>
      <c r="J179" s="11"/>
      <c r="K179" s="12"/>
      <c r="L179" s="12"/>
      <c r="N179" s="13"/>
    </row>
    <row r="180" s="1" customFormat="true" spans="2:14">
      <c r="B180" s="7"/>
      <c r="C180" s="8"/>
      <c r="D180" s="8"/>
      <c r="E180" s="9"/>
      <c r="F180" s="9"/>
      <c r="G180" s="9"/>
      <c r="H180" s="9"/>
      <c r="I180" s="10"/>
      <c r="J180" s="11"/>
      <c r="K180" s="95"/>
      <c r="L180" s="95"/>
      <c r="N180" s="13"/>
    </row>
    <row r="196" s="5" customFormat="true" spans="1:14">
      <c r="A196" s="1"/>
      <c r="B196" s="7"/>
      <c r="C196" s="8"/>
      <c r="D196" s="8"/>
      <c r="E196" s="9"/>
      <c r="F196" s="9"/>
      <c r="G196" s="9"/>
      <c r="H196" s="9"/>
      <c r="I196" s="10"/>
      <c r="J196" s="11"/>
      <c r="K196" s="12"/>
      <c r="L196" s="12"/>
      <c r="N196" s="99"/>
    </row>
    <row r="198" s="6" customFormat="true" spans="1:14">
      <c r="A198" s="1"/>
      <c r="B198" s="7"/>
      <c r="C198" s="8"/>
      <c r="D198" s="8"/>
      <c r="E198" s="9"/>
      <c r="F198" s="9"/>
      <c r="G198" s="9"/>
      <c r="H198" s="9"/>
      <c r="I198" s="10"/>
      <c r="J198" s="11"/>
      <c r="K198" s="12"/>
      <c r="L198" s="12"/>
      <c r="N198" s="100"/>
    </row>
    <row r="202" s="5" customFormat="true"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2018-03-27T18:53:00Z</dcterms:created>
  <cp:lastPrinted>2018-08-23T11:32:00Z</cp:lastPrinted>
  <dcterms:modified xsi:type="dcterms:W3CDTF">2025-05-26T09:59:58Z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4C001A6EB91D44E3B002B77AB5B804EB</vt:lpwstr>
  </property>
  <property fmtid="{D5CDD505-2E9C-101B-9397-08002B2CF9AE}" pid="4" name="KSOReadingLayout">
    <vt:bool>true</vt:bool>
  </property>
</Properties>
</file>